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ocuments\EJERCICIOS INGENIERIA DE COSTOS\"/>
    </mc:Choice>
  </mc:AlternateContent>
  <bookViews>
    <workbookView xWindow="-120" yWindow="-120" windowWidth="29040" windowHeight="15840" firstSheet="2" activeTab="2"/>
  </bookViews>
  <sheets>
    <sheet name="R-PRE" sheetId="10" state="hidden" r:id="rId1"/>
    <sheet name="PRE" sheetId="9" state="hidden" r:id="rId2"/>
    <sheet name="PU" sheetId="11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1" l="1"/>
  <c r="G36" i="11"/>
  <c r="G33" i="11"/>
  <c r="G32" i="11"/>
  <c r="G35" i="11"/>
  <c r="F42" i="11"/>
  <c r="D87" i="7" a="1"/>
  <c r="E87" i="7" s="1"/>
  <c r="G85" i="7"/>
  <c r="D85" i="7"/>
  <c r="C85" i="7"/>
  <c r="G84" i="7"/>
  <c r="D84" i="7"/>
  <c r="C84" i="7"/>
  <c r="G83" i="7"/>
  <c r="D83" i="7"/>
  <c r="C83" i="7"/>
  <c r="D81" i="7" a="1"/>
  <c r="E81" i="7" s="1"/>
  <c r="D79" i="7" a="1"/>
  <c r="F79" i="7" s="1"/>
  <c r="H79" i="7" s="1"/>
  <c r="D78" i="7" a="1"/>
  <c r="E78" i="7" s="1"/>
  <c r="F78" i="7" l="1"/>
  <c r="H78" i="7" s="1"/>
  <c r="D78" i="7"/>
  <c r="D81" i="7"/>
  <c r="D87" i="7"/>
  <c r="F81" i="7"/>
  <c r="H81" i="7" s="1"/>
  <c r="F83" i="7" s="1"/>
  <c r="H83" i="7" s="1"/>
  <c r="F87" i="7"/>
  <c r="H87" i="7" s="1"/>
  <c r="F84" i="7"/>
  <c r="F85" i="7" s="1"/>
  <c r="H85" i="7" s="1"/>
  <c r="E79" i="7"/>
  <c r="D79" i="7"/>
  <c r="D34" i="11" a="1"/>
  <c r="D34" i="11" s="1"/>
  <c r="D22" i="2"/>
  <c r="D75" i="7" a="1"/>
  <c r="G73" i="7"/>
  <c r="D73" i="7"/>
  <c r="C73" i="7"/>
  <c r="G72" i="7"/>
  <c r="D72" i="7"/>
  <c r="C72" i="7"/>
  <c r="G71" i="7"/>
  <c r="D71" i="7"/>
  <c r="C71" i="7"/>
  <c r="D69" i="7" a="1"/>
  <c r="D69" i="7" s="1"/>
  <c r="D67" i="7" a="1"/>
  <c r="D66" i="7" a="1"/>
  <c r="D65" i="7" a="1"/>
  <c r="D64" i="7" a="1"/>
  <c r="D54" i="11"/>
  <c r="C54" i="11"/>
  <c r="G53" i="11"/>
  <c r="D53" i="11"/>
  <c r="C53" i="11"/>
  <c r="G52" i="11"/>
  <c r="D52" i="11"/>
  <c r="C52" i="11"/>
  <c r="G51" i="11"/>
  <c r="D51" i="11"/>
  <c r="C51" i="11"/>
  <c r="G50" i="11"/>
  <c r="D50" i="11"/>
  <c r="C50" i="11"/>
  <c r="G49" i="11"/>
  <c r="D49" i="11"/>
  <c r="C49" i="11"/>
  <c r="D48" i="11"/>
  <c r="C48" i="11"/>
  <c r="G46" i="11"/>
  <c r="D46" i="11"/>
  <c r="C46" i="11"/>
  <c r="G45" i="11"/>
  <c r="D45" i="11"/>
  <c r="C45" i="11"/>
  <c r="G44" i="11"/>
  <c r="D44" i="11"/>
  <c r="C44" i="11"/>
  <c r="G43" i="11"/>
  <c r="D43" i="11"/>
  <c r="C43" i="11"/>
  <c r="G42" i="11"/>
  <c r="D42" i="11"/>
  <c r="C42" i="11"/>
  <c r="D40" i="11" a="1"/>
  <c r="D39" i="11" a="1"/>
  <c r="D39" i="11" s="1"/>
  <c r="D32" i="11" a="1"/>
  <c r="D32" i="11" s="1"/>
  <c r="H84" i="7" l="1"/>
  <c r="H77" i="7" s="1"/>
  <c r="D36" i="11" s="1" a="1"/>
  <c r="F36" i="11" s="1"/>
  <c r="H36" i="11" s="1"/>
  <c r="D64" i="7"/>
  <c r="D65" i="7"/>
  <c r="D66" i="7"/>
  <c r="D67" i="7"/>
  <c r="D75" i="7"/>
  <c r="D40" i="11"/>
  <c r="D21" i="2"/>
  <c r="D36" i="11" l="1"/>
  <c r="E36" i="11"/>
  <c r="D27" i="11"/>
  <c r="C27" i="11"/>
  <c r="G26" i="11"/>
  <c r="D26" i="11"/>
  <c r="C26" i="11"/>
  <c r="G25" i="11"/>
  <c r="D25" i="11"/>
  <c r="C25" i="11"/>
  <c r="G24" i="11"/>
  <c r="D24" i="11"/>
  <c r="C24" i="11"/>
  <c r="G23" i="11"/>
  <c r="D23" i="11"/>
  <c r="C23" i="11"/>
  <c r="G22" i="11"/>
  <c r="D22" i="11"/>
  <c r="C22" i="11"/>
  <c r="D21" i="11"/>
  <c r="C21" i="11"/>
  <c r="G19" i="11"/>
  <c r="D19" i="11"/>
  <c r="C19" i="11"/>
  <c r="G18" i="11"/>
  <c r="D18" i="11"/>
  <c r="C18" i="11"/>
  <c r="G17" i="11"/>
  <c r="D17" i="11"/>
  <c r="C17" i="11"/>
  <c r="G16" i="11"/>
  <c r="D16" i="11"/>
  <c r="C16" i="11"/>
  <c r="G15" i="11"/>
  <c r="D15" i="11"/>
  <c r="C15" i="11"/>
  <c r="D13" i="11" a="1"/>
  <c r="D12" i="11" a="1"/>
  <c r="D12" i="11" s="1"/>
  <c r="D10" i="11" a="1"/>
  <c r="D9" i="11" a="1"/>
  <c r="D8" i="11" a="1"/>
  <c r="B6" i="11"/>
  <c r="D20" i="2"/>
  <c r="D19" i="2"/>
  <c r="D10" i="11" l="1"/>
  <c r="D13" i="11"/>
  <c r="D8" i="11"/>
  <c r="D9" i="11"/>
  <c r="D55" i="7" a="1"/>
  <c r="G53" i="7"/>
  <c r="D55" i="7" l="1"/>
  <c r="G50" i="7"/>
  <c r="D53" i="7" a="1"/>
  <c r="D17" i="2"/>
  <c r="D52" i="7" a="1"/>
  <c r="D52" i="7" s="1"/>
  <c r="D47" i="7" a="1"/>
  <c r="G45" i="7"/>
  <c r="D45" i="7"/>
  <c r="C45" i="7"/>
  <c r="G44" i="7"/>
  <c r="D44" i="7"/>
  <c r="C44" i="7"/>
  <c r="G43" i="7"/>
  <c r="D43" i="7"/>
  <c r="C43" i="7"/>
  <c r="D41" i="7" a="1"/>
  <c r="D39" i="7" a="1"/>
  <c r="D38" i="7" a="1"/>
  <c r="D37" i="7" a="1"/>
  <c r="D36" i="7" a="1"/>
  <c r="D53" i="7" l="1"/>
  <c r="D36" i="7"/>
  <c r="D41" i="7"/>
  <c r="D47" i="7"/>
  <c r="D37" i="7"/>
  <c r="D38" i="7"/>
  <c r="D39" i="7"/>
  <c r="G17" i="7"/>
  <c r="G11" i="7"/>
  <c r="B23" i="10" l="1" a="1"/>
  <c r="B23" i="10" s="1"/>
  <c r="F229" i="9"/>
  <c r="F228" i="9"/>
  <c r="F230" i="9" s="1"/>
  <c r="F225" i="9"/>
  <c r="F224" i="9"/>
  <c r="F226" i="9" s="1"/>
  <c r="B22" i="10" s="1" a="1"/>
  <c r="B22" i="10" s="1"/>
  <c r="F221" i="9"/>
  <c r="F220" i="9"/>
  <c r="F219" i="9"/>
  <c r="F218" i="9"/>
  <c r="F217" i="9"/>
  <c r="F216" i="9"/>
  <c r="F215" i="9"/>
  <c r="F214" i="9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68" i="9"/>
  <c r="F167" i="9"/>
  <c r="F166" i="9"/>
  <c r="F165" i="9"/>
  <c r="F164" i="9"/>
  <c r="F169" i="9" s="1"/>
  <c r="B18" i="10" s="1" a="1"/>
  <c r="B18" i="10" s="1"/>
  <c r="F161" i="9"/>
  <c r="F160" i="9"/>
  <c r="F159" i="9"/>
  <c r="F158" i="9"/>
  <c r="F157" i="9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94" i="9"/>
  <c r="F95" i="9"/>
  <c r="F96" i="9"/>
  <c r="F97" i="9"/>
  <c r="F98" i="9"/>
  <c r="F99" i="9"/>
  <c r="F100" i="9"/>
  <c r="F101" i="9"/>
  <c r="F104" i="9"/>
  <c r="F114" i="9" s="1"/>
  <c r="B13" i="10" s="1" a="1"/>
  <c r="B13" i="10" s="1"/>
  <c r="F105" i="9"/>
  <c r="F106" i="9"/>
  <c r="F107" i="9"/>
  <c r="F108" i="9"/>
  <c r="F109" i="9"/>
  <c r="F110" i="9"/>
  <c r="F111" i="9"/>
  <c r="F112" i="9"/>
  <c r="F113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5" i="9"/>
  <c r="F136" i="9"/>
  <c r="F137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F13" i="9" s="1"/>
  <c r="B7" i="10" s="1" a="1"/>
  <c r="B7" i="10" s="1"/>
  <c r="H4" i="4"/>
  <c r="H3" i="4"/>
  <c r="H2" i="4"/>
  <c r="D60" i="7"/>
  <c r="C60" i="7"/>
  <c r="D59" i="7"/>
  <c r="C59" i="7"/>
  <c r="D58" i="7"/>
  <c r="C58" i="7"/>
  <c r="D31" i="7"/>
  <c r="C31" i="7"/>
  <c r="D30" i="7"/>
  <c r="C30" i="7"/>
  <c r="D29" i="7"/>
  <c r="C29" i="7"/>
  <c r="D15" i="7"/>
  <c r="D14" i="7"/>
  <c r="D13" i="7"/>
  <c r="C15" i="7"/>
  <c r="C14" i="7"/>
  <c r="C13" i="7"/>
  <c r="G60" i="7"/>
  <c r="G59" i="7"/>
  <c r="G58" i="7"/>
  <c r="G31" i="7"/>
  <c r="G30" i="7"/>
  <c r="G29" i="7"/>
  <c r="G15" i="7"/>
  <c r="G14" i="7"/>
  <c r="G13" i="7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6" i="7" a="1"/>
  <c r="D56" i="7" s="1"/>
  <c r="D51" i="7" a="1"/>
  <c r="D51" i="7" s="1"/>
  <c r="D50" i="7" a="1"/>
  <c r="D50" i="7" s="1"/>
  <c r="F91" i="9" l="1"/>
  <c r="B11" i="10" s="1" a="1"/>
  <c r="B11" i="10" s="1"/>
  <c r="F153" i="9"/>
  <c r="B16" i="10" s="1" a="1"/>
  <c r="B16" i="10" s="1"/>
  <c r="F138" i="9"/>
  <c r="B15" i="10" s="1" a="1"/>
  <c r="B15" i="10" s="1"/>
  <c r="F132" i="9"/>
  <c r="B14" i="10" s="1" a="1"/>
  <c r="B14" i="10" s="1"/>
  <c r="F187" i="9"/>
  <c r="B19" i="10" s="1" a="1"/>
  <c r="B19" i="10" s="1"/>
  <c r="F72" i="9"/>
  <c r="B10" i="10" s="1" a="1"/>
  <c r="B10" i="10" s="1"/>
  <c r="F102" i="9"/>
  <c r="B12" i="10" s="1" a="1"/>
  <c r="B12" i="10" s="1"/>
  <c r="F222" i="9"/>
  <c r="B21" i="10" s="1" a="1"/>
  <c r="B21" i="10" s="1"/>
  <c r="F162" i="9"/>
  <c r="B17" i="10" s="1" a="1"/>
  <c r="B17" i="10" s="1"/>
  <c r="D21" i="10"/>
  <c r="D19" i="10"/>
  <c r="D18" i="10"/>
  <c r="D17" i="10"/>
  <c r="D16" i="10"/>
  <c r="D15" i="10"/>
  <c r="D14" i="10"/>
  <c r="D13" i="10"/>
  <c r="D12" i="10"/>
  <c r="D11" i="10"/>
  <c r="D10" i="10"/>
  <c r="D7" i="10"/>
  <c r="D23" i="10"/>
  <c r="D22" i="10"/>
  <c r="F202" i="9"/>
  <c r="B20" i="10" s="1" a="1"/>
  <c r="B20" i="10" s="1"/>
  <c r="F46" i="9"/>
  <c r="B9" i="10" s="1" a="1"/>
  <c r="B9" i="10" s="1"/>
  <c r="F28" i="9"/>
  <c r="H5" i="4"/>
  <c r="F232" i="9" l="1"/>
  <c r="B8" i="10" a="1"/>
  <c r="D20" i="10"/>
  <c r="D9" i="10"/>
  <c r="B8" i="10" l="1"/>
  <c r="D8" i="10"/>
  <c r="D25" i="10" s="1"/>
  <c r="C25" i="10"/>
  <c r="E25" i="10" l="1"/>
  <c r="E18" i="10"/>
  <c r="E19" i="10"/>
  <c r="E9" i="10"/>
  <c r="E23" i="10"/>
  <c r="E21" i="10"/>
  <c r="E16" i="10"/>
  <c r="E10" i="10"/>
  <c r="E8" i="10"/>
  <c r="E22" i="10"/>
  <c r="E13" i="10"/>
  <c r="E11" i="10"/>
  <c r="E17" i="10"/>
  <c r="E14" i="10"/>
  <c r="E7" i="10"/>
  <c r="E12" i="10"/>
  <c r="E15" i="10"/>
  <c r="E20" i="10"/>
  <c r="F75" i="7" l="1"/>
  <c r="H75" i="7" s="1"/>
  <c r="E75" i="7"/>
  <c r="F69" i="7"/>
  <c r="H69" i="7" s="1"/>
  <c r="F71" i="7" s="1"/>
  <c r="E69" i="7"/>
  <c r="F67" i="7"/>
  <c r="H67" i="7" s="1"/>
  <c r="E67" i="7"/>
  <c r="F66" i="7"/>
  <c r="H66" i="7" s="1"/>
  <c r="E66" i="7"/>
  <c r="F65" i="7"/>
  <c r="H65" i="7" s="1"/>
  <c r="E65" i="7"/>
  <c r="F64" i="7"/>
  <c r="H64" i="7" s="1"/>
  <c r="E64" i="7"/>
  <c r="F56" i="7"/>
  <c r="H56" i="7" s="1"/>
  <c r="E56" i="7"/>
  <c r="F55" i="7"/>
  <c r="H55" i="7" s="1"/>
  <c r="E55" i="7"/>
  <c r="F53" i="7"/>
  <c r="H53" i="7" s="1"/>
  <c r="E53" i="7"/>
  <c r="F52" i="7"/>
  <c r="E52" i="7"/>
  <c r="F51" i="7"/>
  <c r="E51" i="7"/>
  <c r="F50" i="7"/>
  <c r="E50" i="7"/>
  <c r="F47" i="7"/>
  <c r="H47" i="7" s="1"/>
  <c r="E47" i="7"/>
  <c r="F41" i="7"/>
  <c r="H41" i="7" s="1"/>
  <c r="F43" i="7" s="1"/>
  <c r="E41" i="7"/>
  <c r="F39" i="7"/>
  <c r="H39" i="7" s="1"/>
  <c r="E39" i="7"/>
  <c r="F38" i="7"/>
  <c r="H38" i="7" s="1"/>
  <c r="E38" i="7"/>
  <c r="F37" i="7"/>
  <c r="H37" i="7" s="1"/>
  <c r="E37" i="7"/>
  <c r="F36" i="7"/>
  <c r="H36" i="7" s="1"/>
  <c r="E36" i="7"/>
  <c r="F33" i="7"/>
  <c r="E33" i="7"/>
  <c r="F27" i="7"/>
  <c r="E27" i="7"/>
  <c r="F25" i="7"/>
  <c r="E25" i="7"/>
  <c r="F24" i="7"/>
  <c r="E24" i="7"/>
  <c r="F23" i="7"/>
  <c r="E23" i="7"/>
  <c r="F22" i="7"/>
  <c r="E22" i="7"/>
  <c r="F17" i="7"/>
  <c r="E17" i="7"/>
  <c r="F11" i="7"/>
  <c r="E11" i="7"/>
  <c r="F9" i="7"/>
  <c r="E9" i="7"/>
  <c r="F8" i="7"/>
  <c r="E8" i="7"/>
  <c r="F7" i="7"/>
  <c r="E7" i="7"/>
  <c r="F40" i="11"/>
  <c r="H40" i="11" s="1"/>
  <c r="E40" i="11"/>
  <c r="F39" i="11"/>
  <c r="H39" i="11" s="1"/>
  <c r="E39" i="11"/>
  <c r="F34" i="11"/>
  <c r="H34" i="11" s="1"/>
  <c r="E34" i="11"/>
  <c r="F32" i="11"/>
  <c r="H32" i="11" s="1"/>
  <c r="E32" i="11"/>
  <c r="F13" i="11"/>
  <c r="H13" i="11" s="1"/>
  <c r="E13" i="11"/>
  <c r="F12" i="11"/>
  <c r="H12" i="11" s="1"/>
  <c r="F15" i="11" s="1"/>
  <c r="E12" i="11"/>
  <c r="F10" i="11"/>
  <c r="H10" i="11" s="1"/>
  <c r="E10" i="11"/>
  <c r="F9" i="11"/>
  <c r="H9" i="11" s="1"/>
  <c r="E9" i="11"/>
  <c r="F8" i="11"/>
  <c r="H8" i="11" s="1"/>
  <c r="E8" i="1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F16" i="11" l="1"/>
  <c r="H15" i="11"/>
  <c r="F43" i="11"/>
  <c r="H42" i="11"/>
  <c r="H43" i="7"/>
  <c r="F44" i="7"/>
  <c r="H52" i="7"/>
  <c r="F58" i="7"/>
  <c r="F72" i="7"/>
  <c r="H71" i="7"/>
  <c r="F73" i="7" l="1"/>
  <c r="H73" i="7" s="1"/>
  <c r="H72" i="7"/>
  <c r="H51" i="7"/>
  <c r="H50" i="7" s="1"/>
  <c r="F59" i="7"/>
  <c r="H58" i="7"/>
  <c r="F45" i="7"/>
  <c r="H45" i="7" s="1"/>
  <c r="H44" i="7"/>
  <c r="H43" i="11"/>
  <c r="F44" i="11"/>
  <c r="F17" i="11"/>
  <c r="H16" i="11"/>
  <c r="H63" i="7" l="1"/>
  <c r="F18" i="11"/>
  <c r="H17" i="11"/>
  <c r="F60" i="7"/>
  <c r="H60" i="7" s="1"/>
  <c r="H59" i="7"/>
  <c r="F45" i="11"/>
  <c r="H44" i="11"/>
  <c r="H35" i="7"/>
  <c r="D33" i="11" s="1" a="1"/>
  <c r="H33" i="7"/>
  <c r="H27" i="7" s="1"/>
  <c r="F29" i="7" s="1"/>
  <c r="H49" i="7" l="1"/>
  <c r="D37" i="11" s="1" a="1"/>
  <c r="D37" i="11" s="1"/>
  <c r="H25" i="7"/>
  <c r="H24" i="7" s="1"/>
  <c r="H23" i="7" s="1"/>
  <c r="H22" i="7" s="1"/>
  <c r="H29" i="7"/>
  <c r="F30" i="7"/>
  <c r="D33" i="11"/>
  <c r="E33" i="11"/>
  <c r="F33" i="11"/>
  <c r="H33" i="11" s="1"/>
  <c r="H45" i="11"/>
  <c r="F46" i="11"/>
  <c r="H46" i="11" s="1"/>
  <c r="H18" i="11"/>
  <c r="F19" i="11"/>
  <c r="H19" i="11" s="1"/>
  <c r="F22" i="11" l="1"/>
  <c r="F23" i="11" s="1"/>
  <c r="E37" i="11"/>
  <c r="F37" i="11"/>
  <c r="H37" i="11" s="1"/>
  <c r="H30" i="7"/>
  <c r="F31" i="7"/>
  <c r="H31" i="7" s="1"/>
  <c r="H17" i="7"/>
  <c r="H11" i="7" s="1"/>
  <c r="F13" i="7" s="1"/>
  <c r="H22" i="11" l="1"/>
  <c r="H21" i="7"/>
  <c r="H9" i="7"/>
  <c r="H8" i="7" s="1"/>
  <c r="H7" i="7" s="1"/>
  <c r="F14" i="7"/>
  <c r="H13" i="7"/>
  <c r="H23" i="11"/>
  <c r="F24" i="11" s="1"/>
  <c r="H24" i="11" l="1"/>
  <c r="F25" i="11" s="1"/>
  <c r="H25" i="11" s="1"/>
  <c r="F26" i="11" s="1"/>
  <c r="H26" i="11" s="1"/>
  <c r="H27" i="11" s="1"/>
  <c r="H6" i="11" s="1"/>
  <c r="F15" i="7"/>
  <c r="H15" i="7" s="1"/>
  <c r="H14" i="7"/>
  <c r="H6" i="7" l="1"/>
  <c r="D35" i="11" s="1" a="1"/>
  <c r="D35" i="11" s="1"/>
  <c r="E35" i="11" l="1"/>
  <c r="F35" i="11"/>
  <c r="H35" i="11" s="1"/>
  <c r="F49" i="11" s="1"/>
  <c r="H49" i="11" s="1"/>
  <c r="F50" i="11" l="1"/>
  <c r="H50" i="11" s="1"/>
  <c r="F51" i="11" l="1"/>
  <c r="H51" i="11" s="1"/>
  <c r="F52" i="11" s="1"/>
  <c r="H52" i="11" s="1"/>
  <c r="F53" i="11" s="1"/>
  <c r="H53" i="11" s="1"/>
  <c r="H54" i="11" s="1"/>
  <c r="H30" i="1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<sst xmlns="http://schemas.openxmlformats.org/spreadsheetml/2006/main" count="884" uniqueCount="558">
  <si>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</si>
  <si>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</si>
  <si>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</si>
  <si>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</si>
  <si>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</si>
  <si>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</si>
  <si>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</si>
  <si>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</si>
  <si>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</si>
  <si>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</si>
  <si>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</si>
  <si>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</si>
  <si>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</si>
  <si>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</si>
  <si>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</si>
  <si>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</si>
  <si>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</si>
  <si>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</si>
  <si>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</si>
  <si>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</si>
  <si>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</si>
  <si>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</si>
  <si>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</si>
  <si>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</si>
  <si>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</si>
  <si>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</si>
  <si>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</si>
  <si>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</si>
  <si>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</si>
  <si>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</si>
  <si>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</si>
  <si>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</si>
  <si>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</si>
  <si>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</si>
  <si>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</si>
  <si>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</si>
  <si>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</si>
  <si>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</si>
  <si>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</si>
  <si>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</si>
  <si>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</si>
  <si>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</si>
  <si>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</si>
  <si>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</si>
  <si>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</si>
  <si>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</si>
  <si>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</si>
  <si>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</si>
  <si>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</si>
  <si>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</si>
  <si>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</si>
  <si>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</si>
  <si>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</si>
  <si>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</si>
  <si>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</si>
  <si>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</si>
  <si>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</si>
  <si>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</si>
  <si>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</si>
  <si>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</si>
  <si>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</si>
  <si>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</si>
  <si>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</si>
  <si>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</si>
  <si>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</si>
  <si>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</si>
  <si>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</si>
  <si>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</si>
  <si>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</si>
  <si>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</si>
  <si>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</si>
  <si>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</si>
  <si>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</si>
  <si>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</si>
  <si>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</si>
  <si>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</si>
  <si>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</si>
  <si>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</si>
  <si>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</si>
  <si>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</si>
  <si>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</si>
  <si>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</si>
  <si>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</si>
  <si>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</si>
  <si>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</si>
  <si>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</si>
  <si>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</si>
  <si>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</si>
  <si>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</si>
  <si>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</si>
  <si>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</si>
  <si>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</si>
  <si>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</si>
  <si>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</si>
  <si>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</si>
  <si>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</si>
  <si>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</si>
  <si>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</si>
  <si>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</si>
  <si>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</si>
  <si>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</si>
  <si>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</si>
  <si>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</si>
  <si>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</si>
  <si>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</si>
  <si>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</si>
  <si>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</si>
  <si>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</si>
  <si>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</si>
  <si>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</si>
  <si>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</si>
  <si>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</si>
  <si>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</si>
  <si>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</si>
  <si>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</si>
  <si>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</si>
  <si>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</si>
  <si>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</si>
  <si>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</si>
  <si>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</si>
  <si>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</si>
  <si>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</si>
  <si>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</si>
  <si>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</si>
  <si>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</si>
  <si>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</si>
  <si>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</si>
  <si>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</si>
  <si>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</si>
  <si>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</si>
  <si>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</si>
  <si>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</si>
  <si>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</si>
  <si>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</si>
  <si>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</si>
  <si>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</si>
  <si>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</si>
  <si>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</si>
  <si>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</si>
  <si>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</si>
  <si>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</si>
  <si>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</si>
  <si>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</si>
  <si>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</si>
  <si>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</si>
  <si>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</si>
  <si>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</si>
  <si>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</si>
  <si>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</si>
  <si>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</si>
  <si>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</si>
  <si>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</si>
  <si>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</si>
  <si>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</si>
  <si>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</si>
  <si>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</si>
  <si>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</si>
  <si>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</si>
  <si>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</si>
  <si>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</si>
  <si>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</si>
  <si>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</si>
  <si>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</si>
  <si>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</si>
  <si>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</si>
  <si>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</si>
  <si>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</si>
  <si>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</si>
  <si>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</si>
  <si>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</si>
  <si>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</si>
  <si>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</si>
  <si>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</si>
  <si>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</si>
  <si>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</si>
  <si>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</si>
  <si>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</si>
  <si>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</si>
  <si>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</si>
  <si>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</si>
  <si>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</si>
  <si>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</si>
  <si>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</si>
  <si>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</si>
  <si>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</si>
  <si>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</si>
  <si>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</si>
  <si>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</si>
  <si>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</si>
  <si>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</si>
  <si>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</si>
  <si>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</si>
  <si>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</si>
  <si>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</si>
  <si>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</si>
  <si>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</si>
  <si>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</si>
  <si>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</si>
  <si>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</si>
  <si>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</si>
  <si>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</si>
  <si>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</si>
  <si>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</si>
  <si>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</si>
  <si>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</si>
  <si>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</si>
  <si>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</si>
  <si>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</si>
  <si>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</si>
  <si>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</si>
  <si>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</si>
  <si>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</si>
  <si>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</si>
  <si>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</si>
  <si>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</si>
  <si>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</si>
  <si>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</si>
  <si>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</si>
  <si>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</si>
  <si>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</si>
  <si>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</si>
  <si>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</si>
  <si>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</si>
  <si>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</si>
  <si>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</si>
  <si>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</si>
  <si>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</si>
  <si>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</si>
  <si>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</si>
  <si>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</si>
  <si>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</si>
  <si>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</si>
  <si>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</si>
  <si>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</si>
  <si>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</si>
  <si>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</si>
  <si>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</si>
  <si>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</si>
  <si>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</si>
  <si>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</si>
  <si>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</si>
  <si>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</si>
  <si>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</si>
  <si>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</si>
  <si>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</si>
  <si>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</si>
  <si>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</si>
  <si>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</si>
  <si>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</si>
  <si>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</si>
  <si>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</si>
  <si>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</si>
  <si>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</si>
  <si>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</si>
  <si>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</si>
  <si>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</si>
  <si>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</si>
  <si>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</si>
  <si>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</si>
  <si>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</si>
  <si>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</si>
  <si>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</si>
  <si>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</si>
  <si>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</si>
  <si>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</si>
  <si>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</si>
  <si>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</si>
  <si>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</si>
  <si>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</si>
  <si>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</si>
  <si>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</si>
  <si>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</si>
  <si>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</si>
  <si>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</si>
  <si>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</si>
  <si>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</si>
  <si>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</si>
  <si>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</si>
  <si>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</si>
  <si>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</si>
  <si>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</si>
  <si>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</si>
  <si>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</si>
  <si>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</si>
  <si>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</si>
  <si>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</si>
  <si>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</si>
  <si>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</si>
  <si>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</si>
  <si>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</si>
  <si>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</si>
  <si>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</si>
  <si>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</si>
  <si>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</si>
  <si>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</si>
  <si>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</si>
  <si>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</si>
  <si>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</si>
  <si>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</si>
  <si>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</si>
  <si>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</si>
  <si>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</si>
  <si>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</si>
  <si>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</si>
  <si>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</si>
  <si>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</si>
  <si>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</si>
  <si>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</si>
  <si>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</si>
  <si>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</si>
  <si>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</si>
  <si>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</si>
  <si>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</si>
  <si>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</si>
  <si>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</si>
  <si>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</si>
  <si>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</si>
  <si>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</si>
  <si>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</si>
  <si>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</si>
  <si>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</si>
  <si>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</si>
  <si>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</si>
  <si>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</si>
  <si>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</si>
  <si>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</si>
  <si>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</si>
  <si>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</si>
  <si>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</si>
  <si>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</si>
  <si>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</si>
  <si>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</si>
  <si>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</si>
  <si>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</si>
  <si>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</si>
  <si>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</si>
  <si>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</si>
  <si>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</si>
  <si>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</si>
  <si>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</si>
  <si>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</si>
  <si>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</si>
  <si>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</si>
  <si>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</si>
  <si>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</si>
  <si>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</si>
  <si>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</si>
  <si>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</si>
  <si>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</si>
  <si>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</si>
  <si>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</si>
  <si>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</si>
  <si>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</si>
  <si>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</si>
  <si>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</si>
  <si>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</si>
  <si>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</si>
  <si>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</si>
  <si>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</si>
  <si>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</si>
  <si>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</si>
  <si>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</si>
  <si>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</si>
  <si>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</si>
  <si>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</si>
  <si>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</si>
  <si>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</si>
  <si>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</si>
  <si>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</si>
  <si>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</si>
  <si>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</si>
  <si>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</si>
  <si>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</si>
  <si>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</si>
  <si>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</si>
  <si>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</si>
  <si>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</si>
  <si>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</si>
  <si>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</si>
  <si>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</si>
  <si>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</si>
  <si>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</si>
  <si>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</si>
  <si>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</si>
  <si>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</si>
  <si>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</si>
  <si>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</si>
  <si>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</si>
  <si>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</si>
  <si>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</si>
  <si>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</si>
  <si>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</si>
  <si>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</si>
  <si>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</si>
  <si>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</si>
  <si>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</si>
  <si>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</si>
  <si>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</si>
  <si>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</si>
  <si>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</si>
  <si>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</si>
  <si>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</si>
  <si>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</si>
  <si>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</si>
  <si>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</si>
  <si>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</si>
  <si>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</si>
  <si>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</si>
  <si>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</si>
  <si>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</si>
  <si>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</si>
  <si>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</si>
  <si>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</si>
  <si>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</si>
  <si>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</si>
  <si>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</si>
  <si>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</si>
  <si>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</si>
  <si>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</si>
  <si>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</si>
  <si>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</si>
  <si>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</si>
  <si>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</si>
  <si>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</si>
  <si>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</si>
  <si>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</si>
  <si>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</si>
  <si>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</si>
  <si>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</si>
  <si>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</si>
  <si>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</si>
  <si>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</si>
  <si>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</si>
  <si>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</si>
  <si>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</si>
  <si>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</si>
  <si>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</si>
  <si>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</si>
  <si>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</si>
  <si>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</si>
  <si>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</si>
  <si>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</si>
  <si>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</si>
  <si>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</si>
  <si>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</si>
  <si>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</si>
  <si>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</si>
  <si>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</si>
  <si>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</si>
  <si>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</si>
  <si>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</si>
  <si>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</si>
  <si>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</si>
  <si>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</si>
  <si>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</si>
  <si>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</si>
  <si>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</si>
  <si>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</si>
  <si>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</si>
  <si>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</si>
  <si>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</si>
  <si>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</si>
  <si>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</si>
  <si>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</si>
  <si>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</si>
  <si>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</si>
  <si>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</si>
  <si>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</si>
  <si>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</si>
  <si>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</si>
  <si>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</si>
  <si>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</si>
  <si>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</si>
  <si>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</si>
  <si>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</si>
  <si>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</si>
  <si>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</si>
  <si>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</si>
  <si>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</si>
  <si>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</si>
  <si>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</si>
  <si>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</si>
  <si>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</si>
  <si>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</si>
  <si>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</si>
  <si>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</si>
  <si>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</si>
  <si>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</si>
  <si>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</si>
  <si>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</si>
  <si>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</si>
  <si>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</si>
  <si>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</si>
  <si>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</si>
  <si>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</si>
  <si>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</si>
  <si>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</si>
  <si>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</si>
  <si>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</si>
  <si>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</si>
  <si>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</si>
  <si>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</si>
  <si>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</si>
  <si>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</si>
  <si>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</si>
  <si>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</si>
  <si>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</si>
  <si>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</si>
  <si>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</si>
  <si>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</si>
  <si>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</si>
  <si>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</si>
  <si>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</si>
  <si>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</si>
  <si>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</si>
  <si>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</si>
  <si>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</si>
  <si>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</si>
  <si>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</si>
  <si>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</si>
  <si>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</si>
  <si>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</si>
  <si>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</si>
  <si>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</si>
  <si>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</si>
  <si>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</si>
  <si>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</si>
  <si>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</si>
  <si>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</si>
  <si>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</si>
  <si>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</si>
  <si>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</si>
  <si>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</si>
  <si>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</si>
  <si>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</si>
  <si>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</si>
  <si>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</si>
  <si>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</si>
  <si>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CONCRETO F'c= 150 Kg/cm2 TMA 3/4" HECHO EN OBRA</t>
  </si>
  <si>
    <t>BA004</t>
  </si>
  <si>
    <t>DESM</t>
  </si>
  <si>
    <t>DESMOLDANTE</t>
  </si>
  <si>
    <t>ALAMBRON</t>
  </si>
  <si>
    <t>VARILLA 1/4" ALAMBRON</t>
  </si>
  <si>
    <t>EMULSION</t>
  </si>
  <si>
    <t>VAPORTITE</t>
  </si>
  <si>
    <t>TABIQUE</t>
  </si>
  <si>
    <t>MILLAR</t>
  </si>
  <si>
    <t>TUBO</t>
  </si>
  <si>
    <t>TUBO PPR 3/4" TRAMO 4M</t>
  </si>
  <si>
    <t>pza</t>
  </si>
  <si>
    <t>TABIQUE RR 7X14X28</t>
  </si>
  <si>
    <t>MARCO</t>
  </si>
  <si>
    <t>MARCO Y CONTRMARCO PARA REGISTRO</t>
  </si>
  <si>
    <t>ELABORACION DE REGISTRO SANITARIO 40X60X80 CMS DE TABIQUE ROJO RECOCIDO  7-14-28 ASENTADO CON MORTERO CEM-ARENA 1:5 CON ACABADO PULIDO EN INTERIOR, FIRME DE 8CMS DE ESPESOR, TAPA CONCRETO, INCLUYE: ACARREO, MANO DE OBRA, HERRAMIENTA.</t>
  </si>
  <si>
    <t>CONCRETO F'c= 100 Kg/cm2 TMA 3/4" HECHO EN OBRA</t>
  </si>
  <si>
    <t>BA005</t>
  </si>
  <si>
    <t xml:space="preserve">MORTERO CEMENTO-AGUA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</si>
</sst>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"/>
    <numFmt numFmtId="165" formatCode="#,##0.000"/>
    <numFmt numFmtId="166" formatCode="#,##0.00000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5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165" fontId="0" fillId="0" borderId="0" xfId="0" applyNumberFormat="1" applyAlignment="1">
      <alignment horizontal="right"/>
    </xf>
    <xf numFmtId="10" fontId="4" fillId="0" borderId="0" xfId="1" applyNumberFormat="1" applyFont="1" applyFill="1"/>
    <xf numFmtId="4" fontId="7" fillId="0" borderId="0" xfId="0" applyNumberFormat="1" applyFont="1"/>
    <xf numFmtId="4" fontId="8" fillId="0" borderId="3" xfId="0" applyNumberFormat="1" applyFont="1" applyBorder="1" applyAlignment="1">
      <alignment horizontal="left" vertical="top" wrapText="1"/>
    </xf>
    <xf numFmtId="4" fontId="0" fillId="0" borderId="0" xfId="0" applyNumberFormat="1" applyAlignment="1">
      <alignment horizontal="left" vertical="top" wrapText="1"/>
    </xf>
    <xf numFmtId="166" fontId="0" fillId="0" borderId="0" xfId="0" applyNumberForma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11BAA88-FA69-472C-A6E0-5319221A0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282065" cy="70641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5"/>
  <sheetViews>
    <sheetView workbookViewId="0">
      <selection activeCell="B13" sqref="B13"/>
    </sheetView>
  </sheetViews>
  <sheetFormatPr baseColWidth="10" defaultColWidth="11.625" defaultRowHeight="14.25"/>
  <cols>
    <col min="1" max="1" width="15.75" style="1" customWidth="1"/>
    <col min="2" max="2" width="72.25" style="1" customWidth="1"/>
    <col min="3" max="16384" width="11.625" style="1"/>
  </cols>
  <sheetData>
    <row r="2" spans="1:5">
      <c r="C2" s="46" t="s">
        <v>491</v>
      </c>
      <c r="D2" s="9"/>
    </row>
    <row r="3" spans="1:5">
      <c r="C3" s="9" t="s">
        <v>497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15" customHeight="1" thickBot="1">
      <c r="A5" s="7" t="s">
        <v>494</v>
      </c>
      <c r="B5" s="7" t="s">
        <v>0</v>
      </c>
      <c r="C5" s="36" t="s">
        <v>18</v>
      </c>
      <c r="D5" s="37" t="s">
        <v>498</v>
      </c>
      <c r="E5" s="36" t="s">
        <v>492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 ht="15">
      <c r="B25" s="6" t="s">
        <v>496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232"/>
  <sheetViews>
    <sheetView topLeftCell="A108" workbookViewId="0">
      <selection activeCell="B13" sqref="B13"/>
    </sheetView>
  </sheetViews>
  <sheetFormatPr baseColWidth="10" defaultColWidth="11.625" defaultRowHeight="14.25"/>
  <cols>
    <col min="1" max="1" width="11.625" style="1"/>
    <col min="2" max="2" width="46.75" style="1" customWidth="1"/>
    <col min="3" max="3" width="11.625" style="1"/>
    <col min="4" max="4" width="11.625" style="40"/>
    <col min="5" max="5" width="15.625" style="1" customWidth="1"/>
    <col min="6" max="6" width="16.25" style="1" customWidth="1"/>
    <col min="7" max="16384" width="11.625" style="1"/>
  </cols>
  <sheetData>
    <row r="2" spans="1:6">
      <c r="C2" s="9" t="s">
        <v>218</v>
      </c>
    </row>
    <row r="3" spans="1:6">
      <c r="C3" s="9"/>
    </row>
    <row r="4" spans="1:6">
      <c r="C4" s="9"/>
    </row>
    <row r="5" spans="1:6" s="8" customFormat="1" ht="28.15" customHeight="1" thickBot="1">
      <c r="A5" s="7" t="s">
        <v>1</v>
      </c>
      <c r="B5" s="7" t="s">
        <v>0</v>
      </c>
      <c r="C5" s="11" t="s">
        <v>5</v>
      </c>
      <c r="D5" s="41" t="s">
        <v>216</v>
      </c>
      <c r="E5" s="37" t="s">
        <v>87</v>
      </c>
      <c r="F5" s="36" t="s">
        <v>18</v>
      </c>
    </row>
    <row r="7" spans="1:6" ht="15">
      <c r="B7" s="6" t="s">
        <v>88</v>
      </c>
    </row>
    <row r="8" spans="1:6" ht="57">
      <c r="A8" s="38" t="s">
        <v>89</v>
      </c>
      <c r="B8" s="38" t="s">
        <v>528</v>
      </c>
      <c r="C8" s="38" t="s">
        <v>90</v>
      </c>
      <c r="D8" s="42">
        <v>34</v>
      </c>
      <c r="E8" s="10">
        <v>6.89</v>
      </c>
      <c r="F8" s="10">
        <f>D8*E8</f>
        <v>234.26</v>
      </c>
    </row>
    <row r="9" spans="1:6" ht="42.75">
      <c r="A9" s="38" t="s">
        <v>91</v>
      </c>
      <c r="B9" s="38" t="s">
        <v>92</v>
      </c>
      <c r="C9" s="38" t="s">
        <v>93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7">
      <c r="A10" s="38" t="s">
        <v>94</v>
      </c>
      <c r="B10" s="38" t="s">
        <v>95</v>
      </c>
      <c r="C10" s="38" t="s">
        <v>93</v>
      </c>
      <c r="D10" s="42">
        <v>119</v>
      </c>
      <c r="E10" s="10">
        <v>13.78</v>
      </c>
      <c r="F10" s="10">
        <f t="shared" si="0"/>
        <v>1639.82</v>
      </c>
    </row>
    <row r="11" spans="1:6" ht="85.5">
      <c r="A11" s="38" t="s">
        <v>96</v>
      </c>
      <c r="B11" s="38" t="s">
        <v>97</v>
      </c>
      <c r="C11" s="38" t="s">
        <v>98</v>
      </c>
      <c r="D11" s="42">
        <v>23.8</v>
      </c>
      <c r="E11" s="10">
        <v>91.11</v>
      </c>
      <c r="F11" s="10">
        <f t="shared" si="0"/>
        <v>2168.42</v>
      </c>
    </row>
    <row r="12" spans="1:6" ht="57">
      <c r="A12" s="38" t="s">
        <v>99</v>
      </c>
      <c r="B12" s="38" t="s">
        <v>100</v>
      </c>
      <c r="C12" s="38" t="s">
        <v>101</v>
      </c>
      <c r="D12" s="42">
        <v>48</v>
      </c>
      <c r="E12" s="10">
        <v>9694.2099999999991</v>
      </c>
      <c r="F12" s="10">
        <f t="shared" si="0"/>
        <v>465322.08</v>
      </c>
    </row>
    <row r="13" spans="1:6" ht="15">
      <c r="B13" s="39" t="s">
        <v>102</v>
      </c>
      <c r="C13" s="38"/>
      <c r="D13" s="42"/>
      <c r="F13" s="43">
        <f>SUM(F8:F12)</f>
        <v>473700.94</v>
      </c>
    </row>
    <row r="14" spans="1:6" ht="15">
      <c r="B14" s="39" t="s">
        <v>103</v>
      </c>
      <c r="C14" s="38"/>
      <c r="D14" s="42"/>
      <c r="F14" s="10"/>
    </row>
    <row r="15" spans="1:6" ht="71.25">
      <c r="A15" s="38" t="s">
        <v>104</v>
      </c>
      <c r="B15" s="38" t="s">
        <v>105</v>
      </c>
      <c r="C15" s="38" t="s">
        <v>98</v>
      </c>
      <c r="D15" s="42">
        <v>33.5</v>
      </c>
      <c r="E15" s="10">
        <v>1748.61</v>
      </c>
      <c r="F15" s="10">
        <f t="shared" si="0"/>
        <v>58578.44</v>
      </c>
    </row>
    <row r="16" spans="1:6" ht="57">
      <c r="A16" s="38" t="s">
        <v>106</v>
      </c>
      <c r="B16" s="38" t="s">
        <v>107</v>
      </c>
      <c r="C16" s="38" t="s">
        <v>93</v>
      </c>
      <c r="D16" s="42">
        <v>33.5</v>
      </c>
      <c r="E16" s="10">
        <v>48.95</v>
      </c>
      <c r="F16" s="10">
        <f t="shared" si="0"/>
        <v>1639.83</v>
      </c>
    </row>
    <row r="17" spans="1:6" ht="114">
      <c r="A17" s="38" t="s">
        <v>108</v>
      </c>
      <c r="B17" s="38" t="s">
        <v>109</v>
      </c>
      <c r="C17" s="38" t="s">
        <v>101</v>
      </c>
      <c r="D17" s="42">
        <v>74.55</v>
      </c>
      <c r="E17" s="10">
        <v>500.49</v>
      </c>
      <c r="F17" s="10">
        <f t="shared" si="0"/>
        <v>37311.53</v>
      </c>
    </row>
    <row r="18" spans="1:6" ht="128.25">
      <c r="A18" s="38" t="s">
        <v>110</v>
      </c>
      <c r="B18" s="38" t="s">
        <v>111</v>
      </c>
      <c r="C18" s="38" t="s">
        <v>112</v>
      </c>
      <c r="D18" s="42">
        <v>1</v>
      </c>
      <c r="E18" s="10">
        <v>12608.68</v>
      </c>
      <c r="F18" s="10">
        <f t="shared" si="0"/>
        <v>12608.68</v>
      </c>
    </row>
    <row r="19" spans="1:6" ht="114">
      <c r="A19" s="38" t="s">
        <v>113</v>
      </c>
      <c r="B19" s="38" t="s">
        <v>114</v>
      </c>
      <c r="C19" s="38" t="s">
        <v>112</v>
      </c>
      <c r="D19" s="42">
        <v>1</v>
      </c>
      <c r="E19" s="10">
        <v>7456.14</v>
      </c>
      <c r="F19" s="10">
        <f t="shared" si="0"/>
        <v>7456.14</v>
      </c>
    </row>
    <row r="20" spans="1:6" ht="57">
      <c r="A20" s="38" t="s">
        <v>115</v>
      </c>
      <c r="B20" s="38" t="s">
        <v>116</v>
      </c>
      <c r="C20" s="38" t="s">
        <v>93</v>
      </c>
      <c r="D20" s="42">
        <v>49.2</v>
      </c>
      <c r="E20" s="10">
        <v>574.13</v>
      </c>
      <c r="F20" s="10">
        <f t="shared" si="0"/>
        <v>28247.200000000001</v>
      </c>
    </row>
    <row r="21" spans="1:6" ht="114">
      <c r="A21" s="38" t="s">
        <v>117</v>
      </c>
      <c r="B21" s="38" t="s">
        <v>118</v>
      </c>
      <c r="C21" s="38" t="s">
        <v>101</v>
      </c>
      <c r="D21" s="42">
        <v>82</v>
      </c>
      <c r="E21" s="10">
        <v>352.16</v>
      </c>
      <c r="F21" s="10">
        <f t="shared" si="0"/>
        <v>28877.119999999999</v>
      </c>
    </row>
    <row r="22" spans="1:6" ht="99.75">
      <c r="A22" s="38" t="s">
        <v>119</v>
      </c>
      <c r="B22" s="38" t="s">
        <v>120</v>
      </c>
      <c r="C22" s="38" t="s">
        <v>112</v>
      </c>
      <c r="D22" s="42">
        <v>19</v>
      </c>
      <c r="E22" s="10">
        <v>266.83</v>
      </c>
      <c r="F22" s="10">
        <f t="shared" si="0"/>
        <v>5069.7700000000004</v>
      </c>
    </row>
    <row r="23" spans="1:6" ht="99.75">
      <c r="A23" s="38" t="s">
        <v>121</v>
      </c>
      <c r="B23" s="38" t="s">
        <v>122</v>
      </c>
      <c r="C23" s="38" t="s">
        <v>112</v>
      </c>
      <c r="D23" s="42">
        <v>3</v>
      </c>
      <c r="E23" s="10">
        <v>524.82000000000005</v>
      </c>
      <c r="F23" s="10">
        <f t="shared" si="0"/>
        <v>1574.46</v>
      </c>
    </row>
    <row r="24" spans="1:6" ht="99.75">
      <c r="A24" s="38" t="s">
        <v>123</v>
      </c>
      <c r="B24" s="38" t="s">
        <v>124</v>
      </c>
      <c r="C24" s="38" t="s">
        <v>112</v>
      </c>
      <c r="D24" s="42">
        <v>5</v>
      </c>
      <c r="E24" s="10">
        <v>473.21</v>
      </c>
      <c r="F24" s="10">
        <f t="shared" si="0"/>
        <v>2366.0500000000002</v>
      </c>
    </row>
    <row r="25" spans="1:6" ht="99.75">
      <c r="A25" s="38" t="s">
        <v>125</v>
      </c>
      <c r="B25" s="38" t="s">
        <v>126</v>
      </c>
      <c r="C25" s="38" t="s">
        <v>112</v>
      </c>
      <c r="D25" s="42">
        <v>1</v>
      </c>
      <c r="E25" s="10">
        <v>490.96</v>
      </c>
      <c r="F25" s="10">
        <f t="shared" si="0"/>
        <v>490.96</v>
      </c>
    </row>
    <row r="26" spans="1:6" ht="85.5">
      <c r="A26" s="38" t="s">
        <v>127</v>
      </c>
      <c r="B26" s="38" t="s">
        <v>128</v>
      </c>
      <c r="C26" s="38" t="s">
        <v>101</v>
      </c>
      <c r="D26" s="42">
        <v>47.66</v>
      </c>
      <c r="E26" s="10">
        <v>178.94</v>
      </c>
      <c r="F26" s="10">
        <f t="shared" si="0"/>
        <v>8528.2800000000007</v>
      </c>
    </row>
    <row r="27" spans="1:6" ht="85.5">
      <c r="A27" s="38" t="s">
        <v>129</v>
      </c>
      <c r="B27" s="38" t="s">
        <v>130</v>
      </c>
      <c r="C27" s="38" t="s">
        <v>98</v>
      </c>
      <c r="D27" s="42">
        <f>D15</f>
        <v>33.5</v>
      </c>
      <c r="E27" s="10">
        <v>182.22</v>
      </c>
      <c r="F27" s="10">
        <f t="shared" si="0"/>
        <v>6104.37</v>
      </c>
    </row>
    <row r="28" spans="1:6" ht="15">
      <c r="B28" s="39" t="s">
        <v>131</v>
      </c>
      <c r="C28" s="38"/>
      <c r="D28" s="42"/>
      <c r="F28" s="43">
        <f>SUM(F15:F27)</f>
        <v>198852.83</v>
      </c>
    </row>
    <row r="29" spans="1:6" ht="15">
      <c r="B29" s="39" t="s">
        <v>132</v>
      </c>
      <c r="C29" s="38"/>
      <c r="D29" s="42"/>
      <c r="F29" s="10"/>
    </row>
    <row r="30" spans="1:6" ht="57">
      <c r="A30" s="38" t="s">
        <v>133</v>
      </c>
      <c r="B30" s="38" t="s">
        <v>134</v>
      </c>
      <c r="C30" s="38" t="s">
        <v>101</v>
      </c>
      <c r="D30" s="42">
        <v>51</v>
      </c>
      <c r="E30" s="10">
        <v>64.31</v>
      </c>
      <c r="F30" s="10">
        <f t="shared" si="0"/>
        <v>3279.81</v>
      </c>
    </row>
    <row r="31" spans="1:6" ht="57">
      <c r="A31" s="38" t="s">
        <v>135</v>
      </c>
      <c r="B31" s="38" t="s">
        <v>136</v>
      </c>
      <c r="C31" s="38" t="s">
        <v>98</v>
      </c>
      <c r="D31" s="42">
        <v>16.5</v>
      </c>
      <c r="E31" s="10">
        <v>1860.56</v>
      </c>
      <c r="F31" s="10">
        <f t="shared" si="0"/>
        <v>30699.24</v>
      </c>
    </row>
    <row r="32" spans="1:6" ht="42.75">
      <c r="A32" s="38" t="s">
        <v>137</v>
      </c>
      <c r="B32" s="38" t="s">
        <v>138</v>
      </c>
      <c r="C32" s="38" t="s">
        <v>93</v>
      </c>
      <c r="D32" s="42">
        <v>16.25</v>
      </c>
      <c r="E32" s="10">
        <v>100.92</v>
      </c>
      <c r="F32" s="10">
        <f t="shared" si="0"/>
        <v>1639.95</v>
      </c>
    </row>
    <row r="33" spans="1:6" ht="71.25">
      <c r="A33" s="38" t="s">
        <v>139</v>
      </c>
      <c r="B33" s="38" t="s">
        <v>140</v>
      </c>
      <c r="C33" s="38" t="s">
        <v>93</v>
      </c>
      <c r="D33" s="42">
        <v>6.25</v>
      </c>
      <c r="E33" s="10">
        <v>788.68</v>
      </c>
      <c r="F33" s="10">
        <f t="shared" si="0"/>
        <v>4929.25</v>
      </c>
    </row>
    <row r="34" spans="1:6" ht="71.25">
      <c r="A34" s="38" t="s">
        <v>141</v>
      </c>
      <c r="B34" s="38" t="s">
        <v>142</v>
      </c>
      <c r="C34" s="38" t="s">
        <v>143</v>
      </c>
      <c r="D34" s="42">
        <v>1</v>
      </c>
      <c r="E34" s="10">
        <v>34369.39</v>
      </c>
      <c r="F34" s="10">
        <f t="shared" si="0"/>
        <v>34369.39</v>
      </c>
    </row>
    <row r="35" spans="1:6" ht="71.25">
      <c r="A35" s="38" t="s">
        <v>144</v>
      </c>
      <c r="B35" s="38" t="s">
        <v>145</v>
      </c>
      <c r="C35" s="38" t="s">
        <v>93</v>
      </c>
      <c r="D35" s="42">
        <v>0</v>
      </c>
      <c r="E35" s="10">
        <v>273.33</v>
      </c>
      <c r="F35" s="10">
        <f t="shared" si="0"/>
        <v>0</v>
      </c>
    </row>
    <row r="36" spans="1:6" ht="71.25">
      <c r="A36" s="38" t="s">
        <v>146</v>
      </c>
      <c r="B36" s="38" t="s">
        <v>147</v>
      </c>
      <c r="C36" s="38" t="s">
        <v>112</v>
      </c>
      <c r="D36" s="42">
        <v>1</v>
      </c>
      <c r="E36" s="10">
        <v>3412.49</v>
      </c>
      <c r="F36" s="10">
        <f t="shared" si="0"/>
        <v>3412.49</v>
      </c>
    </row>
    <row r="37" spans="1:6" ht="71.25">
      <c r="A37" s="38" t="s">
        <v>148</v>
      </c>
      <c r="B37" s="38" t="s">
        <v>149</v>
      </c>
      <c r="C37" s="38" t="s">
        <v>112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1.25">
      <c r="A38" s="38" t="s">
        <v>150</v>
      </c>
      <c r="B38" s="38" t="s">
        <v>151</v>
      </c>
      <c r="C38" s="38" t="s">
        <v>112</v>
      </c>
      <c r="D38" s="42">
        <v>1</v>
      </c>
      <c r="E38" s="10">
        <v>2209.91</v>
      </c>
      <c r="F38" s="10">
        <f t="shared" si="0"/>
        <v>2209.91</v>
      </c>
    </row>
    <row r="39" spans="1:6" ht="71.25">
      <c r="A39" s="38" t="s">
        <v>152</v>
      </c>
      <c r="B39" s="38" t="s">
        <v>153</v>
      </c>
      <c r="C39" s="38" t="s">
        <v>112</v>
      </c>
      <c r="D39" s="42">
        <v>1</v>
      </c>
      <c r="E39" s="10">
        <v>7358.74</v>
      </c>
      <c r="F39" s="10">
        <f t="shared" si="0"/>
        <v>7358.74</v>
      </c>
    </row>
    <row r="40" spans="1:6" ht="99.75">
      <c r="A40" s="38" t="s">
        <v>154</v>
      </c>
      <c r="B40" s="38" t="s">
        <v>155</v>
      </c>
      <c r="C40" s="38" t="s">
        <v>101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9.75">
      <c r="A41" s="38" t="s">
        <v>156</v>
      </c>
      <c r="B41" s="38" t="s">
        <v>157</v>
      </c>
      <c r="C41" s="38" t="s">
        <v>101</v>
      </c>
      <c r="D41" s="42">
        <v>2.8</v>
      </c>
      <c r="E41" s="10">
        <v>428.71</v>
      </c>
      <c r="F41" s="10">
        <f t="shared" si="0"/>
        <v>1200.3900000000001</v>
      </c>
    </row>
    <row r="42" spans="1:6" ht="99.75">
      <c r="A42" s="38" t="s">
        <v>158</v>
      </c>
      <c r="B42" s="38" t="s">
        <v>159</v>
      </c>
      <c r="C42" s="38" t="s">
        <v>101</v>
      </c>
      <c r="D42" s="42">
        <v>35.35</v>
      </c>
      <c r="E42" s="10">
        <v>207.56</v>
      </c>
      <c r="F42" s="10">
        <f t="shared" si="0"/>
        <v>7337.25</v>
      </c>
    </row>
    <row r="43" spans="1:6" ht="99.75">
      <c r="A43" s="38" t="s">
        <v>160</v>
      </c>
      <c r="B43" s="38" t="s">
        <v>161</v>
      </c>
      <c r="C43" s="38" t="s">
        <v>101</v>
      </c>
      <c r="D43" s="42">
        <v>9.5</v>
      </c>
      <c r="E43" s="10">
        <v>326.64</v>
      </c>
      <c r="F43" s="10">
        <f t="shared" si="0"/>
        <v>3103.08</v>
      </c>
    </row>
    <row r="44" spans="1:6" ht="85.5">
      <c r="A44" s="38" t="s">
        <v>162</v>
      </c>
      <c r="B44" s="38" t="s">
        <v>163</v>
      </c>
      <c r="C44" s="38" t="s">
        <v>98</v>
      </c>
      <c r="D44" s="42">
        <v>0</v>
      </c>
      <c r="E44" s="10">
        <v>1639.95</v>
      </c>
      <c r="F44" s="10">
        <f t="shared" si="0"/>
        <v>0</v>
      </c>
    </row>
    <row r="45" spans="1:6" ht="71.25">
      <c r="A45" s="38" t="s">
        <v>164</v>
      </c>
      <c r="B45" s="38" t="s">
        <v>165</v>
      </c>
      <c r="C45" s="38" t="s">
        <v>98</v>
      </c>
      <c r="D45" s="42">
        <v>4</v>
      </c>
      <c r="E45" s="10">
        <v>712.82</v>
      </c>
      <c r="F45" s="10">
        <f t="shared" si="0"/>
        <v>2851.28</v>
      </c>
    </row>
    <row r="46" spans="1:6" ht="15">
      <c r="B46" s="39" t="s">
        <v>166</v>
      </c>
      <c r="C46" s="39"/>
      <c r="D46" s="44"/>
      <c r="E46" s="6"/>
      <c r="F46" s="43">
        <f>SUM(F30:F45)</f>
        <v>121685.02</v>
      </c>
    </row>
    <row r="47" spans="1:6" ht="30">
      <c r="B47" s="39" t="s">
        <v>167</v>
      </c>
      <c r="C47" s="39"/>
      <c r="D47" s="44"/>
      <c r="E47" s="6"/>
      <c r="F47" s="43"/>
    </row>
    <row r="48" spans="1:6" ht="57">
      <c r="A48" s="38" t="s">
        <v>168</v>
      </c>
      <c r="B48" s="38" t="s">
        <v>169</v>
      </c>
      <c r="C48" s="38" t="s">
        <v>98</v>
      </c>
      <c r="D48" s="42">
        <v>107.36</v>
      </c>
      <c r="E48" s="10">
        <v>788.27</v>
      </c>
      <c r="F48" s="10">
        <f t="shared" si="0"/>
        <v>84628.67</v>
      </c>
    </row>
    <row r="49" spans="1:6" ht="71.25">
      <c r="A49" s="38" t="s">
        <v>170</v>
      </c>
      <c r="B49" s="38" t="s">
        <v>171</v>
      </c>
      <c r="C49" s="38" t="s">
        <v>93</v>
      </c>
      <c r="D49" s="42">
        <v>112.7</v>
      </c>
      <c r="E49" s="10">
        <v>257.24</v>
      </c>
      <c r="F49" s="10">
        <f t="shared" si="0"/>
        <v>28990.95</v>
      </c>
    </row>
    <row r="50" spans="1:6" ht="57">
      <c r="A50" s="38" t="s">
        <v>172</v>
      </c>
      <c r="B50" s="38" t="s">
        <v>173</v>
      </c>
      <c r="C50" s="38" t="s">
        <v>93</v>
      </c>
      <c r="D50" s="42">
        <v>112.7</v>
      </c>
      <c r="E50" s="10">
        <v>78.989999999999995</v>
      </c>
      <c r="F50" s="10">
        <f t="shared" si="0"/>
        <v>8902.17</v>
      </c>
    </row>
    <row r="51" spans="1:6" ht="71.25">
      <c r="A51" s="38" t="s">
        <v>174</v>
      </c>
      <c r="B51" s="38" t="s">
        <v>175</v>
      </c>
      <c r="C51" s="38" t="s">
        <v>93</v>
      </c>
      <c r="D51" s="42">
        <v>158.80000000000001</v>
      </c>
      <c r="E51" s="10">
        <v>324.55</v>
      </c>
      <c r="F51" s="10">
        <f t="shared" si="0"/>
        <v>51538.54</v>
      </c>
    </row>
    <row r="52" spans="1:6" ht="85.5">
      <c r="A52" s="38" t="s">
        <v>176</v>
      </c>
      <c r="B52" s="38" t="s">
        <v>177</v>
      </c>
      <c r="C52" s="38" t="s">
        <v>93</v>
      </c>
      <c r="D52" s="42">
        <v>0</v>
      </c>
      <c r="E52" s="10">
        <v>546.65</v>
      </c>
      <c r="F52" s="10">
        <f t="shared" si="0"/>
        <v>0</v>
      </c>
    </row>
    <row r="53" spans="1:6" ht="57">
      <c r="A53" s="38" t="s">
        <v>178</v>
      </c>
      <c r="B53" s="38" t="s">
        <v>179</v>
      </c>
      <c r="C53" s="38" t="s">
        <v>101</v>
      </c>
      <c r="D53" s="42">
        <v>23.7</v>
      </c>
      <c r="E53" s="10">
        <v>399.85</v>
      </c>
      <c r="F53" s="10">
        <f t="shared" si="0"/>
        <v>9476.4500000000007</v>
      </c>
    </row>
    <row r="54" spans="1:6" ht="85.5">
      <c r="A54" s="38" t="s">
        <v>180</v>
      </c>
      <c r="B54" s="38" t="s">
        <v>181</v>
      </c>
      <c r="C54" s="38" t="s">
        <v>101</v>
      </c>
      <c r="D54" s="42">
        <v>86.4</v>
      </c>
      <c r="E54" s="10">
        <v>356.63</v>
      </c>
      <c r="F54" s="10">
        <f t="shared" si="0"/>
        <v>30812.83</v>
      </c>
    </row>
    <row r="55" spans="1:6" ht="85.5">
      <c r="A55" s="38" t="s">
        <v>182</v>
      </c>
      <c r="B55" s="38" t="s">
        <v>183</v>
      </c>
      <c r="C55" s="38" t="s">
        <v>101</v>
      </c>
      <c r="D55" s="42">
        <v>14.4</v>
      </c>
      <c r="E55" s="10">
        <v>407.41</v>
      </c>
      <c r="F55" s="10">
        <f t="shared" si="0"/>
        <v>5866.7</v>
      </c>
    </row>
    <row r="56" spans="1:6" ht="85.5">
      <c r="A56" s="38" t="s">
        <v>184</v>
      </c>
      <c r="B56" s="38" t="s">
        <v>185</v>
      </c>
      <c r="C56" s="38" t="s">
        <v>101</v>
      </c>
      <c r="D56" s="42">
        <v>24</v>
      </c>
      <c r="E56" s="10">
        <v>679.54</v>
      </c>
      <c r="F56" s="10">
        <f t="shared" si="0"/>
        <v>16308.96</v>
      </c>
    </row>
    <row r="57" spans="1:6" ht="85.5">
      <c r="A57" s="38" t="s">
        <v>186</v>
      </c>
      <c r="B57" s="38" t="s">
        <v>187</v>
      </c>
      <c r="C57" s="38" t="s">
        <v>101</v>
      </c>
      <c r="D57" s="42">
        <v>4.8</v>
      </c>
      <c r="E57" s="10">
        <v>756.7</v>
      </c>
      <c r="F57" s="10">
        <f t="shared" si="0"/>
        <v>3632.16</v>
      </c>
    </row>
    <row r="58" spans="1:6" ht="57">
      <c r="A58" s="38" t="s">
        <v>188</v>
      </c>
      <c r="B58" s="38" t="s">
        <v>189</v>
      </c>
      <c r="C58" s="38" t="s">
        <v>143</v>
      </c>
      <c r="D58" s="42">
        <v>1</v>
      </c>
      <c r="E58" s="10">
        <v>2981.55</v>
      </c>
      <c r="F58" s="10">
        <f t="shared" si="0"/>
        <v>2981.55</v>
      </c>
    </row>
    <row r="59" spans="1:6" ht="114">
      <c r="A59" s="38" t="s">
        <v>190</v>
      </c>
      <c r="B59" s="38" t="s">
        <v>191</v>
      </c>
      <c r="C59" s="38" t="s">
        <v>101</v>
      </c>
      <c r="D59" s="42">
        <v>2.65</v>
      </c>
      <c r="E59" s="10">
        <v>568.04</v>
      </c>
      <c r="F59" s="10">
        <f t="shared" si="0"/>
        <v>1505.31</v>
      </c>
    </row>
    <row r="60" spans="1:6" ht="114">
      <c r="A60" s="38" t="s">
        <v>192</v>
      </c>
      <c r="B60" s="38" t="s">
        <v>193</v>
      </c>
      <c r="C60" s="38" t="s">
        <v>101</v>
      </c>
      <c r="D60" s="42">
        <v>52.21</v>
      </c>
      <c r="E60" s="10">
        <v>490.89</v>
      </c>
      <c r="F60" s="10">
        <f t="shared" si="0"/>
        <v>25629.37</v>
      </c>
    </row>
    <row r="61" spans="1:6" ht="99.75">
      <c r="A61" s="38" t="s">
        <v>194</v>
      </c>
      <c r="B61" s="38" t="s">
        <v>195</v>
      </c>
      <c r="C61" s="38" t="s">
        <v>101</v>
      </c>
      <c r="D61" s="42">
        <v>18.45</v>
      </c>
      <c r="E61" s="10">
        <v>645.82000000000005</v>
      </c>
      <c r="F61" s="10">
        <f t="shared" si="0"/>
        <v>11915.38</v>
      </c>
    </row>
    <row r="62" spans="1:6" ht="99.75">
      <c r="A62" s="38" t="s">
        <v>196</v>
      </c>
      <c r="B62" s="38" t="s">
        <v>197</v>
      </c>
      <c r="C62" s="38" t="s">
        <v>101</v>
      </c>
      <c r="D62" s="42">
        <v>90.25</v>
      </c>
      <c r="E62" s="10">
        <v>441.61</v>
      </c>
      <c r="F62" s="10">
        <f t="shared" si="0"/>
        <v>39855.300000000003</v>
      </c>
    </row>
    <row r="63" spans="1:6" ht="99.75">
      <c r="A63" s="38" t="s">
        <v>198</v>
      </c>
      <c r="B63" s="38" t="s">
        <v>199</v>
      </c>
      <c r="C63" s="38" t="s">
        <v>101</v>
      </c>
      <c r="D63" s="42">
        <v>25.2</v>
      </c>
      <c r="E63" s="10">
        <v>537.09</v>
      </c>
      <c r="F63" s="10">
        <f t="shared" si="0"/>
        <v>13534.67</v>
      </c>
    </row>
    <row r="64" spans="1:6" ht="99.75">
      <c r="A64" s="38" t="s">
        <v>200</v>
      </c>
      <c r="B64" s="38" t="s">
        <v>201</v>
      </c>
      <c r="C64" s="38" t="s">
        <v>101</v>
      </c>
      <c r="D64" s="42">
        <v>11.85</v>
      </c>
      <c r="E64" s="10">
        <v>1193.82</v>
      </c>
      <c r="F64" s="10">
        <f t="shared" si="0"/>
        <v>14146.77</v>
      </c>
    </row>
    <row r="65" spans="1:6" ht="99.75">
      <c r="A65" s="38" t="s">
        <v>202</v>
      </c>
      <c r="B65" s="38" t="s">
        <v>203</v>
      </c>
      <c r="C65" s="38" t="s">
        <v>101</v>
      </c>
      <c r="D65" s="42">
        <v>12.5</v>
      </c>
      <c r="E65" s="10">
        <v>1798.27</v>
      </c>
      <c r="F65" s="10">
        <f t="shared" si="0"/>
        <v>22478.38</v>
      </c>
    </row>
    <row r="66" spans="1:6" ht="99.75">
      <c r="A66" s="38" t="s">
        <v>204</v>
      </c>
      <c r="B66" s="38" t="s">
        <v>205</v>
      </c>
      <c r="C66" s="38" t="s">
        <v>101</v>
      </c>
      <c r="D66" s="42">
        <v>12.5</v>
      </c>
      <c r="E66" s="10">
        <v>2488.96</v>
      </c>
      <c r="F66" s="10">
        <f t="shared" si="0"/>
        <v>31112</v>
      </c>
    </row>
    <row r="67" spans="1:6" ht="71.25">
      <c r="A67" s="38" t="s">
        <v>206</v>
      </c>
      <c r="B67" s="38" t="s">
        <v>207</v>
      </c>
      <c r="C67" s="38" t="s">
        <v>143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1.25">
      <c r="A68" s="38" t="s">
        <v>208</v>
      </c>
      <c r="B68" s="38" t="s">
        <v>209</v>
      </c>
      <c r="C68" s="38" t="s">
        <v>101</v>
      </c>
      <c r="D68" s="42">
        <v>3.6</v>
      </c>
      <c r="E68" s="10">
        <v>1333.36</v>
      </c>
      <c r="F68" s="10">
        <f t="shared" si="0"/>
        <v>4800.1000000000004</v>
      </c>
    </row>
    <row r="69" spans="1:6" ht="57">
      <c r="A69" s="38" t="s">
        <v>210</v>
      </c>
      <c r="B69" s="38" t="s">
        <v>211</v>
      </c>
      <c r="C69" s="38" t="s">
        <v>101</v>
      </c>
      <c r="D69" s="42">
        <v>4.5999999999999996</v>
      </c>
      <c r="E69" s="10">
        <v>974.72</v>
      </c>
      <c r="F69" s="10">
        <f t="shared" si="0"/>
        <v>4483.71</v>
      </c>
    </row>
    <row r="70" spans="1:6" ht="71.25">
      <c r="A70" s="38" t="s">
        <v>212</v>
      </c>
      <c r="B70" s="38" t="s">
        <v>213</v>
      </c>
      <c r="C70" s="38" t="s">
        <v>93</v>
      </c>
      <c r="D70" s="42">
        <v>107.5</v>
      </c>
      <c r="E70" s="10">
        <v>2329.0500000000002</v>
      </c>
      <c r="F70" s="10">
        <f t="shared" si="0"/>
        <v>250372.88</v>
      </c>
    </row>
    <row r="71" spans="1:6" ht="57">
      <c r="A71" s="38" t="s">
        <v>214</v>
      </c>
      <c r="B71" s="38" t="s">
        <v>215</v>
      </c>
      <c r="C71" s="38" t="s">
        <v>101</v>
      </c>
      <c r="D71" s="42">
        <v>139.80000000000001</v>
      </c>
      <c r="E71" s="10">
        <v>49.17</v>
      </c>
      <c r="F71" s="10">
        <f t="shared" si="0"/>
        <v>6873.97</v>
      </c>
    </row>
    <row r="72" spans="1:6" ht="30">
      <c r="B72" s="39" t="s">
        <v>217</v>
      </c>
      <c r="F72" s="6">
        <f>SUM(F48:F71)</f>
        <v>678831.77</v>
      </c>
    </row>
    <row r="73" spans="1:6" ht="30">
      <c r="B73" s="39" t="s">
        <v>219</v>
      </c>
      <c r="C73" s="38"/>
      <c r="D73" s="42"/>
      <c r="E73" s="38"/>
    </row>
    <row r="74" spans="1:6" ht="71.25">
      <c r="A74" s="38" t="s">
        <v>220</v>
      </c>
      <c r="B74" s="38" t="s">
        <v>221</v>
      </c>
      <c r="C74" s="38" t="s">
        <v>93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9.75">
      <c r="A75" s="38" t="s">
        <v>222</v>
      </c>
      <c r="B75" s="38" t="s">
        <v>223</v>
      </c>
      <c r="C75" s="38" t="s">
        <v>93</v>
      </c>
      <c r="D75" s="42">
        <v>0</v>
      </c>
      <c r="E75" s="38">
        <v>546.65</v>
      </c>
      <c r="F75" s="10">
        <f t="shared" si="1"/>
        <v>0</v>
      </c>
    </row>
    <row r="76" spans="1:6" ht="57">
      <c r="A76" s="38" t="s">
        <v>224</v>
      </c>
      <c r="B76" s="38" t="s">
        <v>225</v>
      </c>
      <c r="C76" s="38" t="s">
        <v>101</v>
      </c>
      <c r="D76" s="42">
        <v>18.600000000000001</v>
      </c>
      <c r="E76" s="38">
        <v>424.41</v>
      </c>
      <c r="F76" s="10">
        <f t="shared" si="1"/>
        <v>7894.03</v>
      </c>
    </row>
    <row r="77" spans="1:6" ht="99.75">
      <c r="A77" s="38" t="s">
        <v>226</v>
      </c>
      <c r="B77" s="38" t="s">
        <v>227</v>
      </c>
      <c r="C77" s="38" t="s">
        <v>112</v>
      </c>
      <c r="D77" s="42">
        <v>37</v>
      </c>
      <c r="E77" s="38">
        <v>298.7</v>
      </c>
      <c r="F77" s="10">
        <f t="shared" si="1"/>
        <v>11051.9</v>
      </c>
    </row>
    <row r="78" spans="1:6" ht="99.75">
      <c r="A78" s="38" t="s">
        <v>228</v>
      </c>
      <c r="B78" s="38" t="s">
        <v>229</v>
      </c>
      <c r="C78" s="38" t="s">
        <v>112</v>
      </c>
      <c r="D78" s="42">
        <v>4</v>
      </c>
      <c r="E78" s="38">
        <v>408.18</v>
      </c>
      <c r="F78" s="10">
        <f t="shared" si="1"/>
        <v>1632.72</v>
      </c>
    </row>
    <row r="79" spans="1:6" ht="85.5">
      <c r="A79" s="38" t="s">
        <v>230</v>
      </c>
      <c r="B79" s="38" t="s">
        <v>181</v>
      </c>
      <c r="C79" s="38" t="s">
        <v>101</v>
      </c>
      <c r="D79" s="42">
        <v>103.6</v>
      </c>
      <c r="E79" s="38">
        <v>441.92</v>
      </c>
      <c r="F79" s="10">
        <f t="shared" si="1"/>
        <v>45782.91</v>
      </c>
    </row>
    <row r="80" spans="1:6" ht="85.5">
      <c r="A80" s="38" t="s">
        <v>231</v>
      </c>
      <c r="B80" s="38" t="s">
        <v>183</v>
      </c>
      <c r="C80" s="38" t="s">
        <v>101</v>
      </c>
      <c r="D80" s="42">
        <v>11.2</v>
      </c>
      <c r="E80" s="38">
        <v>433.38</v>
      </c>
      <c r="F80" s="10">
        <f t="shared" si="1"/>
        <v>4853.8599999999997</v>
      </c>
    </row>
    <row r="81" spans="1:6" ht="114">
      <c r="A81" s="38" t="s">
        <v>232</v>
      </c>
      <c r="B81" s="38" t="s">
        <v>233</v>
      </c>
      <c r="C81" s="38" t="s">
        <v>101</v>
      </c>
      <c r="D81" s="42">
        <v>98.3</v>
      </c>
      <c r="E81" s="38">
        <v>581</v>
      </c>
      <c r="F81" s="10">
        <f t="shared" si="1"/>
        <v>57112.3</v>
      </c>
    </row>
    <row r="82" spans="1:6" ht="85.5">
      <c r="A82" s="38" t="s">
        <v>234</v>
      </c>
      <c r="B82" s="38" t="s">
        <v>235</v>
      </c>
      <c r="C82" s="38" t="s">
        <v>101</v>
      </c>
      <c r="D82" s="42">
        <v>17.75</v>
      </c>
      <c r="E82" s="38">
        <v>698.58</v>
      </c>
      <c r="F82" s="10">
        <f t="shared" si="1"/>
        <v>12399.8</v>
      </c>
    </row>
    <row r="83" spans="1:6" ht="99.75">
      <c r="A83" s="38" t="s">
        <v>236</v>
      </c>
      <c r="B83" s="38" t="s">
        <v>237</v>
      </c>
      <c r="C83" s="38" t="s">
        <v>101</v>
      </c>
      <c r="D83" s="42">
        <v>96.1</v>
      </c>
      <c r="E83" s="38">
        <v>499.26</v>
      </c>
      <c r="F83" s="10">
        <f t="shared" si="1"/>
        <v>47978.89</v>
      </c>
    </row>
    <row r="84" spans="1:6" ht="99.75">
      <c r="A84" s="38" t="s">
        <v>238</v>
      </c>
      <c r="B84" s="38" t="s">
        <v>239</v>
      </c>
      <c r="C84" s="38" t="s">
        <v>101</v>
      </c>
      <c r="D84" s="42">
        <v>13.8</v>
      </c>
      <c r="E84" s="38">
        <v>600.79</v>
      </c>
      <c r="F84" s="10">
        <f t="shared" si="1"/>
        <v>8290.9</v>
      </c>
    </row>
    <row r="85" spans="1:6" ht="99.75">
      <c r="A85" s="38" t="s">
        <v>240</v>
      </c>
      <c r="B85" s="38" t="s">
        <v>241</v>
      </c>
      <c r="C85" s="38" t="s">
        <v>101</v>
      </c>
      <c r="D85" s="42">
        <v>5.2</v>
      </c>
      <c r="E85" s="38">
        <v>1540</v>
      </c>
      <c r="F85" s="10">
        <f t="shared" si="1"/>
        <v>8008</v>
      </c>
    </row>
    <row r="86" spans="1:6" ht="71.25">
      <c r="A86" s="38" t="s">
        <v>242</v>
      </c>
      <c r="B86" s="38" t="s">
        <v>243</v>
      </c>
      <c r="C86" s="38" t="s">
        <v>143</v>
      </c>
      <c r="D86" s="42">
        <v>1</v>
      </c>
      <c r="E86" s="38">
        <v>4050.64</v>
      </c>
      <c r="F86" s="10">
        <f t="shared" si="1"/>
        <v>4050.64</v>
      </c>
    </row>
    <row r="87" spans="1:6" ht="71.25">
      <c r="A87" s="38" t="s">
        <v>244</v>
      </c>
      <c r="B87" s="38" t="s">
        <v>213</v>
      </c>
      <c r="C87" s="38" t="s">
        <v>93</v>
      </c>
      <c r="D87" s="42">
        <v>98.55</v>
      </c>
      <c r="E87" s="38">
        <v>509.22</v>
      </c>
      <c r="F87" s="10">
        <f t="shared" si="1"/>
        <v>50183.63</v>
      </c>
    </row>
    <row r="88" spans="1:6" ht="71.25">
      <c r="A88" s="38" t="s">
        <v>245</v>
      </c>
      <c r="B88" s="38" t="s">
        <v>171</v>
      </c>
      <c r="C88" s="38" t="s">
        <v>93</v>
      </c>
      <c r="D88" s="42">
        <v>89.2</v>
      </c>
      <c r="E88" s="38">
        <v>287.14</v>
      </c>
      <c r="F88" s="10">
        <f t="shared" si="1"/>
        <v>25612.89</v>
      </c>
    </row>
    <row r="89" spans="1:6" ht="57">
      <c r="A89" s="38" t="s">
        <v>246</v>
      </c>
      <c r="B89" s="38" t="s">
        <v>247</v>
      </c>
      <c r="C89" s="38" t="s">
        <v>93</v>
      </c>
      <c r="D89" s="42">
        <v>89.2</v>
      </c>
      <c r="E89" s="38">
        <v>86.59</v>
      </c>
      <c r="F89" s="10">
        <f t="shared" si="1"/>
        <v>7723.83</v>
      </c>
    </row>
    <row r="90" spans="1:6" ht="57">
      <c r="A90" s="38" t="s">
        <v>248</v>
      </c>
      <c r="B90" s="38" t="s">
        <v>215</v>
      </c>
      <c r="C90" s="38" t="s">
        <v>101</v>
      </c>
      <c r="D90" s="42">
        <v>115.1</v>
      </c>
      <c r="E90" s="38">
        <v>47.53</v>
      </c>
      <c r="F90" s="10">
        <f t="shared" si="1"/>
        <v>5470.7</v>
      </c>
    </row>
    <row r="91" spans="1:6" ht="30">
      <c r="B91" s="39" t="s">
        <v>495</v>
      </c>
      <c r="C91" s="39"/>
      <c r="D91" s="44"/>
      <c r="E91" s="39"/>
      <c r="F91" s="43">
        <f>SUM(F74:F90)</f>
        <v>393479.11</v>
      </c>
    </row>
    <row r="92" spans="1:6" ht="30">
      <c r="B92" s="39" t="s">
        <v>249</v>
      </c>
      <c r="C92" s="39"/>
      <c r="D92" s="44"/>
      <c r="E92" s="39"/>
      <c r="F92" s="10"/>
    </row>
    <row r="93" spans="1:6" ht="99.75">
      <c r="A93" s="38" t="s">
        <v>250</v>
      </c>
      <c r="B93" s="38" t="s">
        <v>251</v>
      </c>
      <c r="C93" s="38" t="s">
        <v>112</v>
      </c>
      <c r="D93" s="42">
        <v>32</v>
      </c>
      <c r="E93" s="38">
        <v>393.6</v>
      </c>
      <c r="F93" s="10">
        <f t="shared" si="1"/>
        <v>12595.2</v>
      </c>
    </row>
    <row r="94" spans="1:6" ht="85.5">
      <c r="A94" s="38" t="s">
        <v>252</v>
      </c>
      <c r="B94" s="38" t="s">
        <v>253</v>
      </c>
      <c r="C94" s="38" t="s">
        <v>101</v>
      </c>
      <c r="D94" s="42">
        <v>14.4</v>
      </c>
      <c r="E94" s="38">
        <v>554.07000000000005</v>
      </c>
      <c r="F94" s="10">
        <f t="shared" si="1"/>
        <v>7978.61</v>
      </c>
    </row>
    <row r="95" spans="1:6" ht="71.25">
      <c r="A95" s="38" t="s">
        <v>254</v>
      </c>
      <c r="B95" s="38" t="s">
        <v>255</v>
      </c>
      <c r="C95" s="38" t="s">
        <v>93</v>
      </c>
      <c r="D95" s="42">
        <v>32</v>
      </c>
      <c r="E95" s="38">
        <v>583.6</v>
      </c>
      <c r="F95" s="10">
        <f t="shared" si="1"/>
        <v>18675.2</v>
      </c>
    </row>
    <row r="96" spans="1:6" ht="71.25">
      <c r="A96" s="38" t="s">
        <v>256</v>
      </c>
      <c r="B96" s="38" t="s">
        <v>257</v>
      </c>
      <c r="C96" s="38" t="s">
        <v>93</v>
      </c>
      <c r="D96" s="42">
        <v>90.55</v>
      </c>
      <c r="E96" s="38">
        <v>239.2</v>
      </c>
      <c r="F96" s="10">
        <f t="shared" si="1"/>
        <v>21659.56</v>
      </c>
    </row>
    <row r="97" spans="1:6" ht="57">
      <c r="A97" s="38" t="s">
        <v>258</v>
      </c>
      <c r="B97" s="38" t="s">
        <v>259</v>
      </c>
      <c r="C97" s="38" t="s">
        <v>101</v>
      </c>
      <c r="D97" s="42">
        <v>59.65</v>
      </c>
      <c r="E97" s="38">
        <v>79.66</v>
      </c>
      <c r="F97" s="10">
        <f t="shared" si="1"/>
        <v>4751.72</v>
      </c>
    </row>
    <row r="98" spans="1:6" ht="57">
      <c r="A98" s="38" t="s">
        <v>260</v>
      </c>
      <c r="B98" s="38" t="s">
        <v>261</v>
      </c>
      <c r="C98" s="38" t="s">
        <v>93</v>
      </c>
      <c r="D98" s="42">
        <v>90.55</v>
      </c>
      <c r="E98" s="38">
        <v>88.23</v>
      </c>
      <c r="F98" s="10">
        <f t="shared" si="1"/>
        <v>7989.23</v>
      </c>
    </row>
    <row r="99" spans="1:6" ht="71.25">
      <c r="A99" s="38" t="s">
        <v>262</v>
      </c>
      <c r="B99" s="38" t="s">
        <v>263</v>
      </c>
      <c r="C99" s="38" t="s">
        <v>93</v>
      </c>
      <c r="D99" s="42">
        <v>84.3</v>
      </c>
      <c r="E99" s="38">
        <v>333</v>
      </c>
      <c r="F99" s="10">
        <f t="shared" si="1"/>
        <v>28071.9</v>
      </c>
    </row>
    <row r="100" spans="1:6" ht="57">
      <c r="A100" s="38" t="s">
        <v>264</v>
      </c>
      <c r="B100" s="38" t="s">
        <v>247</v>
      </c>
      <c r="C100" s="38" t="s">
        <v>93</v>
      </c>
      <c r="D100" s="42">
        <v>84.3</v>
      </c>
      <c r="E100" s="38">
        <v>89.03</v>
      </c>
      <c r="F100" s="10">
        <f t="shared" si="1"/>
        <v>7505.23</v>
      </c>
    </row>
    <row r="101" spans="1:6" ht="99.75">
      <c r="A101" s="38" t="s">
        <v>265</v>
      </c>
      <c r="B101" s="38" t="s">
        <v>266</v>
      </c>
      <c r="C101" s="38" t="s">
        <v>101</v>
      </c>
      <c r="D101" s="42">
        <v>7.5</v>
      </c>
      <c r="E101" s="38">
        <v>499.54</v>
      </c>
      <c r="F101" s="10">
        <f t="shared" si="1"/>
        <v>3746.55</v>
      </c>
    </row>
    <row r="102" spans="1:6" ht="30">
      <c r="B102" s="39" t="s">
        <v>267</v>
      </c>
      <c r="C102" s="39"/>
      <c r="D102" s="44"/>
      <c r="E102" s="39"/>
      <c r="F102" s="43">
        <f>SUM(F93:F101)</f>
        <v>112973.2</v>
      </c>
    </row>
    <row r="103" spans="1:6" ht="30">
      <c r="B103" s="39" t="s">
        <v>268</v>
      </c>
      <c r="C103" s="39"/>
      <c r="D103" s="44"/>
      <c r="E103" s="39"/>
      <c r="F103" s="10"/>
    </row>
    <row r="104" spans="1:6" ht="57">
      <c r="A104" s="38" t="s">
        <v>269</v>
      </c>
      <c r="B104" s="38" t="s">
        <v>270</v>
      </c>
      <c r="C104" s="38" t="s">
        <v>143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7">
      <c r="A105" s="38" t="s">
        <v>271</v>
      </c>
      <c r="B105" s="38" t="s">
        <v>272</v>
      </c>
      <c r="C105" s="38" t="s">
        <v>143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5.5">
      <c r="A106" s="38" t="s">
        <v>273</v>
      </c>
      <c r="B106" s="38" t="s">
        <v>274</v>
      </c>
      <c r="C106" s="38" t="s">
        <v>101</v>
      </c>
      <c r="D106" s="42">
        <v>51.7</v>
      </c>
      <c r="E106" s="38">
        <v>57.74</v>
      </c>
      <c r="F106" s="10">
        <f t="shared" si="1"/>
        <v>2985.16</v>
      </c>
    </row>
    <row r="107" spans="1:6" ht="85.5">
      <c r="A107" s="38" t="s">
        <v>275</v>
      </c>
      <c r="B107" s="38" t="s">
        <v>276</v>
      </c>
      <c r="C107" s="38" t="s">
        <v>101</v>
      </c>
      <c r="D107" s="42">
        <v>49.1</v>
      </c>
      <c r="E107" s="38">
        <v>76.22</v>
      </c>
      <c r="F107" s="10">
        <f t="shared" si="1"/>
        <v>3742.4</v>
      </c>
    </row>
    <row r="108" spans="1:6" ht="71.25">
      <c r="A108" s="38" t="s">
        <v>277</v>
      </c>
      <c r="B108" s="38" t="s">
        <v>278</v>
      </c>
      <c r="C108" s="38" t="s">
        <v>101</v>
      </c>
      <c r="D108" s="42">
        <v>28</v>
      </c>
      <c r="E108" s="38">
        <v>117.62</v>
      </c>
      <c r="F108" s="10">
        <f t="shared" si="1"/>
        <v>3293.36</v>
      </c>
    </row>
    <row r="109" spans="1:6" ht="57">
      <c r="A109" s="38" t="s">
        <v>279</v>
      </c>
      <c r="B109" s="38" t="s">
        <v>280</v>
      </c>
      <c r="C109" s="38" t="s">
        <v>281</v>
      </c>
      <c r="D109" s="42">
        <v>22</v>
      </c>
      <c r="E109" s="38">
        <v>115.13</v>
      </c>
      <c r="F109" s="10">
        <f t="shared" si="1"/>
        <v>2532.86</v>
      </c>
    </row>
    <row r="110" spans="1:6" ht="57">
      <c r="A110" s="38" t="s">
        <v>282</v>
      </c>
      <c r="B110" s="38" t="s">
        <v>283</v>
      </c>
      <c r="C110" s="38" t="s">
        <v>281</v>
      </c>
      <c r="D110" s="42">
        <v>19</v>
      </c>
      <c r="E110" s="38">
        <v>116.68</v>
      </c>
      <c r="F110" s="10">
        <f t="shared" si="1"/>
        <v>2216.92</v>
      </c>
    </row>
    <row r="111" spans="1:6" ht="57">
      <c r="A111" s="38" t="s">
        <v>284</v>
      </c>
      <c r="B111" s="38" t="s">
        <v>285</v>
      </c>
      <c r="C111" s="38" t="s">
        <v>143</v>
      </c>
      <c r="D111" s="42">
        <v>1</v>
      </c>
      <c r="E111" s="38">
        <v>5063.76</v>
      </c>
      <c r="F111" s="10">
        <f t="shared" si="1"/>
        <v>5063.76</v>
      </c>
    </row>
    <row r="112" spans="1:6" ht="71.25">
      <c r="A112" s="38" t="s">
        <v>286</v>
      </c>
      <c r="B112" s="38" t="s">
        <v>287</v>
      </c>
      <c r="C112" s="38" t="s">
        <v>143</v>
      </c>
      <c r="D112" s="42">
        <v>1</v>
      </c>
      <c r="E112" s="38">
        <v>5833.4</v>
      </c>
      <c r="F112" s="10">
        <f t="shared" si="1"/>
        <v>5833.4</v>
      </c>
    </row>
    <row r="113" spans="1:6" ht="71.25">
      <c r="A113" s="38" t="s">
        <v>288</v>
      </c>
      <c r="B113" s="38" t="s">
        <v>289</v>
      </c>
      <c r="C113" s="38" t="s">
        <v>143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30">
      <c r="B114" s="39" t="s">
        <v>290</v>
      </c>
      <c r="C114" s="39"/>
      <c r="D114" s="44"/>
      <c r="E114" s="39"/>
      <c r="F114" s="43">
        <f>SUM(F104:F113)</f>
        <v>37069.01</v>
      </c>
    </row>
    <row r="115" spans="1:6" ht="15">
      <c r="B115" s="39" t="s">
        <v>291</v>
      </c>
      <c r="C115" s="39"/>
      <c r="D115" s="44"/>
      <c r="E115" s="39"/>
      <c r="F115" s="10"/>
    </row>
    <row r="116" spans="1:6" ht="85.5">
      <c r="A116" s="38" t="s">
        <v>292</v>
      </c>
      <c r="B116" s="38" t="s">
        <v>293</v>
      </c>
      <c r="C116" s="38" t="s">
        <v>112</v>
      </c>
      <c r="D116" s="42">
        <v>0</v>
      </c>
      <c r="E116" s="38">
        <v>888.33</v>
      </c>
      <c r="F116" s="10">
        <f t="shared" si="1"/>
        <v>0</v>
      </c>
    </row>
    <row r="117" spans="1:6" ht="114">
      <c r="A117" s="38" t="s">
        <v>294</v>
      </c>
      <c r="B117" s="38" t="s">
        <v>295</v>
      </c>
      <c r="C117" s="38" t="s">
        <v>112</v>
      </c>
      <c r="D117" s="42">
        <v>1</v>
      </c>
      <c r="E117" s="38">
        <v>1376.29</v>
      </c>
      <c r="F117" s="10">
        <f t="shared" si="1"/>
        <v>1376.29</v>
      </c>
    </row>
    <row r="118" spans="1:6" ht="99.75">
      <c r="A118" s="38" t="s">
        <v>296</v>
      </c>
      <c r="B118" s="38" t="s">
        <v>297</v>
      </c>
      <c r="C118" s="38" t="s">
        <v>112</v>
      </c>
      <c r="D118" s="42">
        <v>1</v>
      </c>
      <c r="E118" s="38">
        <v>2698.58</v>
      </c>
      <c r="F118" s="10">
        <f t="shared" si="1"/>
        <v>2698.58</v>
      </c>
    </row>
    <row r="119" spans="1:6" ht="99.75">
      <c r="A119" s="38" t="s">
        <v>298</v>
      </c>
      <c r="B119" s="38" t="s">
        <v>299</v>
      </c>
      <c r="C119" s="38" t="s">
        <v>101</v>
      </c>
      <c r="D119" s="42">
        <v>400</v>
      </c>
      <c r="E119" s="38">
        <v>17.89</v>
      </c>
      <c r="F119" s="10">
        <f t="shared" si="1"/>
        <v>7156</v>
      </c>
    </row>
    <row r="120" spans="1:6" ht="99.75">
      <c r="A120" s="38" t="s">
        <v>300</v>
      </c>
      <c r="B120" s="38" t="s">
        <v>301</v>
      </c>
      <c r="C120" s="38" t="s">
        <v>101</v>
      </c>
      <c r="D120" s="42">
        <v>84.35</v>
      </c>
      <c r="E120" s="38">
        <v>23.03</v>
      </c>
      <c r="F120" s="10">
        <f t="shared" si="1"/>
        <v>1942.58</v>
      </c>
    </row>
    <row r="121" spans="1:6" ht="99.75">
      <c r="A121" s="38" t="s">
        <v>302</v>
      </c>
      <c r="B121" s="38" t="s">
        <v>303</v>
      </c>
      <c r="C121" s="38" t="s">
        <v>101</v>
      </c>
      <c r="D121" s="42">
        <v>912.35</v>
      </c>
      <c r="E121" s="38">
        <v>15.03</v>
      </c>
      <c r="F121" s="10">
        <f t="shared" si="1"/>
        <v>13712.62</v>
      </c>
    </row>
    <row r="122" spans="1:6" ht="71.25">
      <c r="A122" s="38" t="s">
        <v>304</v>
      </c>
      <c r="B122" s="38" t="s">
        <v>305</v>
      </c>
      <c r="C122" s="38" t="s">
        <v>101</v>
      </c>
      <c r="D122" s="42">
        <v>345.6</v>
      </c>
      <c r="E122" s="38">
        <v>11.9</v>
      </c>
      <c r="F122" s="10">
        <f t="shared" si="1"/>
        <v>4112.6400000000003</v>
      </c>
    </row>
    <row r="123" spans="1:6" ht="85.5">
      <c r="A123" s="38" t="s">
        <v>306</v>
      </c>
      <c r="B123" s="38" t="s">
        <v>307</v>
      </c>
      <c r="C123" s="38" t="s">
        <v>281</v>
      </c>
      <c r="D123" s="42">
        <v>47</v>
      </c>
      <c r="E123" s="38">
        <v>27.47</v>
      </c>
      <c r="F123" s="10">
        <f t="shared" si="1"/>
        <v>1291.0899999999999</v>
      </c>
    </row>
    <row r="124" spans="1:6" ht="71.25">
      <c r="A124" s="38" t="s">
        <v>308</v>
      </c>
      <c r="B124" s="38" t="s">
        <v>309</v>
      </c>
      <c r="C124" s="38" t="s">
        <v>281</v>
      </c>
      <c r="D124" s="42">
        <v>7</v>
      </c>
      <c r="E124" s="38">
        <v>123.22</v>
      </c>
      <c r="F124" s="10">
        <f t="shared" si="1"/>
        <v>862.54</v>
      </c>
    </row>
    <row r="125" spans="1:6" ht="71.25">
      <c r="A125" s="38" t="s">
        <v>310</v>
      </c>
      <c r="B125" s="38" t="s">
        <v>311</v>
      </c>
      <c r="C125" s="38" t="s">
        <v>281</v>
      </c>
      <c r="D125" s="42">
        <v>13</v>
      </c>
      <c r="E125" s="38">
        <v>138.25</v>
      </c>
      <c r="F125" s="10">
        <f t="shared" si="1"/>
        <v>1797.25</v>
      </c>
    </row>
    <row r="126" spans="1:6" ht="85.5">
      <c r="A126" s="38" t="s">
        <v>312</v>
      </c>
      <c r="B126" s="38" t="s">
        <v>313</v>
      </c>
      <c r="C126" s="38" t="s">
        <v>281</v>
      </c>
      <c r="D126" s="42">
        <v>31</v>
      </c>
      <c r="E126" s="38">
        <v>120.76</v>
      </c>
      <c r="F126" s="10">
        <f t="shared" si="1"/>
        <v>3743.56</v>
      </c>
    </row>
    <row r="127" spans="1:6" ht="71.25">
      <c r="A127" s="38" t="s">
        <v>314</v>
      </c>
      <c r="B127" s="38" t="s">
        <v>315</v>
      </c>
      <c r="C127" s="38" t="s">
        <v>281</v>
      </c>
      <c r="D127" s="42">
        <v>2</v>
      </c>
      <c r="E127" s="38">
        <v>175.64</v>
      </c>
      <c r="F127" s="10">
        <f t="shared" si="1"/>
        <v>351.28</v>
      </c>
    </row>
    <row r="128" spans="1:6" ht="85.5">
      <c r="A128" s="38" t="s">
        <v>316</v>
      </c>
      <c r="B128" s="38" t="s">
        <v>317</v>
      </c>
      <c r="C128" s="38" t="s">
        <v>281</v>
      </c>
      <c r="D128" s="42">
        <v>10</v>
      </c>
      <c r="E128" s="38">
        <v>120.76</v>
      </c>
      <c r="F128" s="10">
        <f t="shared" si="1"/>
        <v>1207.5999999999999</v>
      </c>
    </row>
    <row r="129" spans="1:6" ht="85.5">
      <c r="A129" s="38" t="s">
        <v>318</v>
      </c>
      <c r="B129" s="38" t="s">
        <v>319</v>
      </c>
      <c r="C129" s="38" t="s">
        <v>281</v>
      </c>
      <c r="D129" s="42">
        <v>3</v>
      </c>
      <c r="E129" s="38">
        <v>120.76</v>
      </c>
      <c r="F129" s="10">
        <f t="shared" si="1"/>
        <v>362.28</v>
      </c>
    </row>
    <row r="130" spans="1:6" ht="85.5">
      <c r="A130" s="38" t="s">
        <v>320</v>
      </c>
      <c r="B130" s="38" t="s">
        <v>321</v>
      </c>
      <c r="C130" s="38" t="s">
        <v>281</v>
      </c>
      <c r="D130" s="42">
        <v>1</v>
      </c>
      <c r="E130" s="38">
        <v>120.76</v>
      </c>
      <c r="F130" s="10">
        <f t="shared" si="1"/>
        <v>120.76</v>
      </c>
    </row>
    <row r="131" spans="1:6" ht="57">
      <c r="A131" s="38" t="s">
        <v>322</v>
      </c>
      <c r="B131" s="38" t="s">
        <v>323</v>
      </c>
      <c r="C131" s="38" t="s">
        <v>281</v>
      </c>
      <c r="D131" s="42">
        <v>0</v>
      </c>
      <c r="E131" s="38">
        <v>888.33</v>
      </c>
      <c r="F131" s="10">
        <f t="shared" si="1"/>
        <v>0</v>
      </c>
    </row>
    <row r="132" spans="1:6" ht="30">
      <c r="B132" s="39" t="s">
        <v>324</v>
      </c>
      <c r="C132" s="39"/>
      <c r="D132" s="44"/>
      <c r="E132" s="39"/>
      <c r="F132" s="43">
        <f>SUM(F116:F131)</f>
        <v>40735.07</v>
      </c>
    </row>
    <row r="133" spans="1:6" ht="15">
      <c r="B133" s="39" t="s">
        <v>325</v>
      </c>
      <c r="C133" s="39"/>
      <c r="D133" s="44"/>
      <c r="E133" s="39"/>
      <c r="F133" s="10"/>
    </row>
    <row r="134" spans="1:6" ht="85.5">
      <c r="A134" s="38" t="s">
        <v>326</v>
      </c>
      <c r="B134" s="38" t="s">
        <v>327</v>
      </c>
      <c r="C134" s="38" t="s">
        <v>101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71.25">
      <c r="A135" s="38" t="s">
        <v>328</v>
      </c>
      <c r="B135" s="38" t="s">
        <v>329</v>
      </c>
      <c r="C135" s="38" t="s">
        <v>281</v>
      </c>
      <c r="D135" s="42">
        <v>4</v>
      </c>
      <c r="E135" s="38">
        <v>299.39</v>
      </c>
      <c r="F135" s="10">
        <f t="shared" si="1"/>
        <v>1197.56</v>
      </c>
    </row>
    <row r="136" spans="1:6" ht="71.25">
      <c r="A136" s="38" t="s">
        <v>330</v>
      </c>
      <c r="B136" s="38" t="s">
        <v>331</v>
      </c>
      <c r="C136" s="38" t="s">
        <v>112</v>
      </c>
      <c r="D136" s="42">
        <v>1</v>
      </c>
      <c r="E136" s="38">
        <v>14640</v>
      </c>
      <c r="F136" s="10">
        <f t="shared" si="1"/>
        <v>14640</v>
      </c>
    </row>
    <row r="137" spans="1:6" ht="71.25">
      <c r="A137" s="38" t="s">
        <v>332</v>
      </c>
      <c r="B137" s="38" t="s">
        <v>333</v>
      </c>
      <c r="C137" s="38" t="s">
        <v>112</v>
      </c>
      <c r="D137" s="42">
        <v>1</v>
      </c>
      <c r="E137" s="38">
        <v>11832.15</v>
      </c>
      <c r="F137" s="10">
        <f t="shared" si="1"/>
        <v>11832.15</v>
      </c>
    </row>
    <row r="138" spans="1:6" ht="15">
      <c r="B138" s="39" t="s">
        <v>334</v>
      </c>
      <c r="C138" s="39"/>
      <c r="D138" s="44"/>
      <c r="E138" s="39"/>
      <c r="F138" s="43">
        <f>SUM(F134:F137)</f>
        <v>33315.53</v>
      </c>
    </row>
    <row r="139" spans="1:6" ht="15">
      <c r="B139" s="39" t="s">
        <v>335</v>
      </c>
      <c r="C139" s="39"/>
      <c r="D139" s="44"/>
      <c r="E139" s="39"/>
      <c r="F139" s="10"/>
    </row>
    <row r="140" spans="1:6" ht="71.25">
      <c r="A140" s="38" t="s">
        <v>336</v>
      </c>
      <c r="B140" s="38" t="s">
        <v>337</v>
      </c>
      <c r="C140" s="38" t="s">
        <v>93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1.25">
      <c r="A141" s="38" t="s">
        <v>338</v>
      </c>
      <c r="B141" s="38" t="s">
        <v>339</v>
      </c>
      <c r="C141" s="38" t="s">
        <v>93</v>
      </c>
      <c r="D141" s="42">
        <v>102</v>
      </c>
      <c r="E141" s="38">
        <v>240.56</v>
      </c>
      <c r="F141" s="10">
        <f t="shared" si="2"/>
        <v>24537.119999999999</v>
      </c>
    </row>
    <row r="142" spans="1:6" ht="71.25">
      <c r="A142" s="38" t="s">
        <v>340</v>
      </c>
      <c r="B142" s="38" t="s">
        <v>341</v>
      </c>
      <c r="C142" s="38" t="s">
        <v>93</v>
      </c>
      <c r="D142" s="42">
        <v>45.95</v>
      </c>
      <c r="E142" s="38">
        <v>238</v>
      </c>
      <c r="F142" s="10">
        <f t="shared" si="2"/>
        <v>10936.1</v>
      </c>
    </row>
    <row r="143" spans="1:6" ht="85.5">
      <c r="A143" s="38" t="s">
        <v>342</v>
      </c>
      <c r="B143" s="38" t="s">
        <v>343</v>
      </c>
      <c r="C143" s="38" t="s">
        <v>101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1.25">
      <c r="A144" s="38" t="s">
        <v>344</v>
      </c>
      <c r="B144" s="38" t="s">
        <v>345</v>
      </c>
      <c r="C144" s="38" t="s">
        <v>101</v>
      </c>
      <c r="D144" s="42">
        <v>65.2</v>
      </c>
      <c r="E144" s="38">
        <v>147.84</v>
      </c>
      <c r="F144" s="10">
        <f t="shared" si="2"/>
        <v>9639.17</v>
      </c>
    </row>
    <row r="145" spans="1:6" ht="57">
      <c r="A145" s="38" t="s">
        <v>346</v>
      </c>
      <c r="B145" s="38" t="s">
        <v>347</v>
      </c>
      <c r="C145" s="38" t="s">
        <v>281</v>
      </c>
      <c r="D145" s="42">
        <v>35</v>
      </c>
      <c r="E145" s="38">
        <v>167.91</v>
      </c>
      <c r="F145" s="10">
        <f t="shared" si="2"/>
        <v>5876.85</v>
      </c>
    </row>
    <row r="146" spans="1:6" ht="57">
      <c r="A146" s="38" t="s">
        <v>348</v>
      </c>
      <c r="B146" s="38" t="s">
        <v>349</v>
      </c>
      <c r="C146" s="38" t="s">
        <v>101</v>
      </c>
      <c r="D146" s="42">
        <v>20.65</v>
      </c>
      <c r="E146" s="38">
        <v>291.74</v>
      </c>
      <c r="F146" s="10">
        <f t="shared" si="2"/>
        <v>6024.43</v>
      </c>
    </row>
    <row r="147" spans="1:6" ht="71.25">
      <c r="A147" s="38" t="s">
        <v>350</v>
      </c>
      <c r="B147" s="38" t="s">
        <v>351</v>
      </c>
      <c r="C147" s="38" t="s">
        <v>93</v>
      </c>
      <c r="D147" s="42">
        <v>455.42</v>
      </c>
      <c r="E147" s="38">
        <v>161.75</v>
      </c>
      <c r="F147" s="10">
        <f t="shared" si="2"/>
        <v>73664.19</v>
      </c>
    </row>
    <row r="148" spans="1:6" ht="57">
      <c r="A148" s="38" t="s">
        <v>352</v>
      </c>
      <c r="B148" s="38" t="s">
        <v>353</v>
      </c>
      <c r="C148" s="38" t="s">
        <v>93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7">
      <c r="A149" s="38" t="s">
        <v>354</v>
      </c>
      <c r="B149" s="38" t="s">
        <v>355</v>
      </c>
      <c r="C149" s="38" t="s">
        <v>101</v>
      </c>
      <c r="D149" s="42">
        <v>92.4</v>
      </c>
      <c r="E149" s="38">
        <v>100.8</v>
      </c>
      <c r="F149" s="10">
        <f t="shared" si="2"/>
        <v>9313.92</v>
      </c>
    </row>
    <row r="150" spans="1:6" ht="42.75">
      <c r="A150" s="38" t="s">
        <v>356</v>
      </c>
      <c r="B150" s="38" t="s">
        <v>357</v>
      </c>
      <c r="C150" s="38" t="s">
        <v>101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2.75">
      <c r="A151" s="38" t="s">
        <v>358</v>
      </c>
      <c r="B151" s="38" t="s">
        <v>359</v>
      </c>
      <c r="C151" s="38" t="s">
        <v>281</v>
      </c>
      <c r="D151" s="42">
        <v>148</v>
      </c>
      <c r="E151" s="38">
        <v>40.56</v>
      </c>
      <c r="F151" s="10">
        <f t="shared" si="2"/>
        <v>6002.88</v>
      </c>
    </row>
    <row r="152" spans="1:6" ht="71.25">
      <c r="A152" s="38" t="s">
        <v>360</v>
      </c>
      <c r="B152" s="38" t="s">
        <v>361</v>
      </c>
      <c r="C152" s="38" t="s">
        <v>93</v>
      </c>
      <c r="D152" s="42">
        <v>11.8</v>
      </c>
      <c r="E152" s="38">
        <v>286.89</v>
      </c>
      <c r="F152" s="10">
        <f t="shared" si="2"/>
        <v>3385.3</v>
      </c>
    </row>
    <row r="153" spans="1:6" ht="15">
      <c r="B153" s="39" t="s">
        <v>362</v>
      </c>
      <c r="C153" s="39"/>
      <c r="D153" s="44"/>
      <c r="E153" s="39"/>
      <c r="F153" s="43">
        <f>SUM(F140:F152)</f>
        <v>232732.62</v>
      </c>
    </row>
    <row r="154" spans="1:6" ht="15">
      <c r="B154" s="6" t="s">
        <v>363</v>
      </c>
    </row>
    <row r="155" spans="1:6" s="38" customFormat="1" ht="57">
      <c r="A155" s="38" t="s">
        <v>364</v>
      </c>
      <c r="B155" s="38" t="s">
        <v>365</v>
      </c>
      <c r="C155" s="38" t="s">
        <v>101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7">
      <c r="A156" s="38" t="s">
        <v>366</v>
      </c>
      <c r="B156" s="38" t="s">
        <v>367</v>
      </c>
      <c r="C156" s="38" t="s">
        <v>101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1.25">
      <c r="A157" s="38" t="s">
        <v>368</v>
      </c>
      <c r="B157" s="38" t="s">
        <v>369</v>
      </c>
      <c r="C157" s="38" t="s">
        <v>101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1.25">
      <c r="A158" s="38" t="s">
        <v>370</v>
      </c>
      <c r="B158" s="38" t="s">
        <v>371</v>
      </c>
      <c r="C158" s="38" t="s">
        <v>93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4">
      <c r="A159" s="38" t="s">
        <v>372</v>
      </c>
      <c r="B159" s="38" t="s">
        <v>373</v>
      </c>
      <c r="C159" s="38" t="s">
        <v>112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7">
      <c r="A160" s="38" t="s">
        <v>374</v>
      </c>
      <c r="B160" s="38" t="s">
        <v>375</v>
      </c>
      <c r="C160" s="38" t="s">
        <v>93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5.5">
      <c r="A161" s="38" t="s">
        <v>376</v>
      </c>
      <c r="B161" s="38" t="s">
        <v>377</v>
      </c>
      <c r="C161" s="38" t="s">
        <v>101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ht="15">
      <c r="B162" s="39" t="s">
        <v>378</v>
      </c>
      <c r="D162" s="42"/>
      <c r="F162" s="39">
        <f>SUM(F155:F161)</f>
        <v>14256.34</v>
      </c>
    </row>
    <row r="163" spans="1:6" s="38" customFormat="1" ht="15">
      <c r="B163" s="39" t="s">
        <v>379</v>
      </c>
      <c r="D163" s="42"/>
    </row>
    <row r="164" spans="1:6" s="38" customFormat="1" ht="57">
      <c r="A164" s="38" t="s">
        <v>380</v>
      </c>
      <c r="B164" s="38" t="s">
        <v>381</v>
      </c>
      <c r="C164" s="38" t="s">
        <v>93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2.75">
      <c r="A165" s="38" t="s">
        <v>382</v>
      </c>
      <c r="B165" s="38" t="s">
        <v>383</v>
      </c>
      <c r="C165" s="38" t="s">
        <v>93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2.75">
      <c r="A166" s="38" t="s">
        <v>384</v>
      </c>
      <c r="B166" s="38" t="s">
        <v>385</v>
      </c>
      <c r="C166" s="38" t="s">
        <v>93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2.75">
      <c r="A167" s="38" t="s">
        <v>386</v>
      </c>
      <c r="B167" s="38" t="s">
        <v>387</v>
      </c>
      <c r="C167" s="38" t="s">
        <v>143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7">
      <c r="A168" s="38" t="s">
        <v>388</v>
      </c>
      <c r="B168" s="38" t="s">
        <v>389</v>
      </c>
      <c r="C168" s="38" t="s">
        <v>112</v>
      </c>
      <c r="D168" s="42">
        <v>0</v>
      </c>
      <c r="E168" s="38">
        <v>866.67</v>
      </c>
      <c r="F168" s="38">
        <f t="shared" si="3"/>
        <v>0</v>
      </c>
    </row>
    <row r="169" spans="1:6" s="38" customFormat="1" ht="15">
      <c r="B169" s="39" t="s">
        <v>390</v>
      </c>
      <c r="D169" s="42"/>
      <c r="F169" s="39">
        <f>SUM(F164:F168)</f>
        <v>62192.77</v>
      </c>
    </row>
    <row r="170" spans="1:6" ht="15">
      <c r="B170" s="6" t="s">
        <v>391</v>
      </c>
    </row>
    <row r="171" spans="1:6" s="38" customFormat="1" ht="71.25">
      <c r="A171" s="38" t="s">
        <v>4</v>
      </c>
      <c r="B171" s="38" t="s">
        <v>392</v>
      </c>
      <c r="C171" s="38" t="s">
        <v>112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71.25">
      <c r="A172" s="38" t="s">
        <v>19</v>
      </c>
      <c r="B172" s="38" t="s">
        <v>393</v>
      </c>
      <c r="C172" s="38" t="s">
        <v>112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4">
      <c r="A173" s="38" t="s">
        <v>34</v>
      </c>
      <c r="B173" s="38" t="s">
        <v>394</v>
      </c>
      <c r="C173" s="38" t="s">
        <v>112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99.75">
      <c r="A174" s="38" t="s">
        <v>53</v>
      </c>
      <c r="B174" s="38" t="s">
        <v>395</v>
      </c>
      <c r="C174" s="38" t="s">
        <v>112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7">
      <c r="A175" s="38" t="s">
        <v>57</v>
      </c>
      <c r="B175" s="38" t="s">
        <v>396</v>
      </c>
      <c r="C175" s="38" t="s">
        <v>112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71.25">
      <c r="A176" s="38" t="s">
        <v>60</v>
      </c>
      <c r="B176" s="38" t="s">
        <v>397</v>
      </c>
      <c r="C176" s="38" t="s">
        <v>112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7">
      <c r="A177" s="38" t="s">
        <v>62</v>
      </c>
      <c r="B177" s="38" t="s">
        <v>398</v>
      </c>
      <c r="C177" s="38" t="s">
        <v>112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2.75">
      <c r="A178" s="38" t="s">
        <v>72</v>
      </c>
      <c r="B178" s="38" t="s">
        <v>399</v>
      </c>
      <c r="C178" s="38" t="s">
        <v>112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2.75">
      <c r="A179" s="38" t="s">
        <v>76</v>
      </c>
      <c r="B179" s="38" t="s">
        <v>400</v>
      </c>
      <c r="C179" s="38" t="s">
        <v>112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2.75">
      <c r="A180" s="38" t="s">
        <v>78</v>
      </c>
      <c r="B180" s="38" t="s">
        <v>401</v>
      </c>
      <c r="C180" s="38" t="s">
        <v>112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2.75">
      <c r="A181" s="38" t="s">
        <v>80</v>
      </c>
      <c r="B181" s="38" t="s">
        <v>402</v>
      </c>
      <c r="C181" s="38" t="s">
        <v>112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7">
      <c r="A182" s="38" t="s">
        <v>403</v>
      </c>
      <c r="B182" s="38" t="s">
        <v>404</v>
      </c>
      <c r="C182" s="38" t="s">
        <v>143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7">
      <c r="A183" s="38" t="s">
        <v>86</v>
      </c>
      <c r="B183" s="38" t="s">
        <v>405</v>
      </c>
      <c r="C183" s="38" t="s">
        <v>112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71.25">
      <c r="A184" s="38" t="s">
        <v>406</v>
      </c>
      <c r="B184" s="38" t="s">
        <v>407</v>
      </c>
      <c r="C184" s="38" t="s">
        <v>112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7">
      <c r="A185" s="38" t="s">
        <v>408</v>
      </c>
      <c r="B185" s="38" t="s">
        <v>409</v>
      </c>
      <c r="C185" s="38" t="s">
        <v>112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7">
      <c r="A186" s="38" t="s">
        <v>410</v>
      </c>
      <c r="B186" s="38" t="s">
        <v>411</v>
      </c>
      <c r="C186" s="38" t="s">
        <v>112</v>
      </c>
      <c r="D186" s="42">
        <v>1</v>
      </c>
      <c r="E186" s="38">
        <v>1938.31</v>
      </c>
      <c r="F186" s="38">
        <f t="shared" si="4"/>
        <v>1938.31</v>
      </c>
    </row>
    <row r="187" spans="1:6" ht="15">
      <c r="B187" s="6" t="s">
        <v>412</v>
      </c>
      <c r="F187" s="39">
        <f>SUM(F171:F186)</f>
        <v>65092.9</v>
      </c>
    </row>
    <row r="188" spans="1:6" ht="15">
      <c r="B188" s="6" t="s">
        <v>413</v>
      </c>
    </row>
    <row r="189" spans="1:6" s="38" customFormat="1" ht="71.25">
      <c r="A189" s="38" t="s">
        <v>414</v>
      </c>
      <c r="B189" s="38" t="s">
        <v>415</v>
      </c>
      <c r="C189" s="38" t="s">
        <v>93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71.25">
      <c r="A190" s="38" t="s">
        <v>416</v>
      </c>
      <c r="B190" s="38" t="s">
        <v>417</v>
      </c>
      <c r="C190" s="38" t="s">
        <v>93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71.25">
      <c r="A191" s="38" t="s">
        <v>418</v>
      </c>
      <c r="B191" s="38" t="s">
        <v>419</v>
      </c>
      <c r="C191" s="38" t="s">
        <v>93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71.25">
      <c r="A192" s="38" t="s">
        <v>420</v>
      </c>
      <c r="B192" s="38" t="s">
        <v>421</v>
      </c>
      <c r="C192" s="38" t="s">
        <v>93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71.25">
      <c r="A193" s="38" t="s">
        <v>422</v>
      </c>
      <c r="B193" s="38" t="s">
        <v>423</v>
      </c>
      <c r="C193" s="38" t="s">
        <v>93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5.5">
      <c r="A194" s="38" t="s">
        <v>424</v>
      </c>
      <c r="B194" s="38" t="s">
        <v>425</v>
      </c>
      <c r="C194" s="38" t="s">
        <v>93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71.25">
      <c r="A195" s="38" t="s">
        <v>426</v>
      </c>
      <c r="B195" s="38" t="s">
        <v>427</v>
      </c>
      <c r="C195" s="38" t="s">
        <v>93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5.5">
      <c r="A196" s="38" t="s">
        <v>428</v>
      </c>
      <c r="B196" s="38" t="s">
        <v>429</v>
      </c>
      <c r="C196" s="38" t="s">
        <v>93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71.25">
      <c r="A197" s="38" t="s">
        <v>430</v>
      </c>
      <c r="B197" s="38" t="s">
        <v>431</v>
      </c>
      <c r="C197" s="38" t="s">
        <v>93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71.25">
      <c r="A198" s="38" t="s">
        <v>432</v>
      </c>
      <c r="B198" s="38" t="s">
        <v>433</v>
      </c>
      <c r="C198" s="38" t="s">
        <v>101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71.25">
      <c r="A199" s="38" t="s">
        <v>434</v>
      </c>
      <c r="B199" s="38" t="s">
        <v>435</v>
      </c>
      <c r="C199" s="38" t="s">
        <v>112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71.25">
      <c r="A200" s="38" t="s">
        <v>436</v>
      </c>
      <c r="B200" s="38" t="s">
        <v>437</v>
      </c>
      <c r="C200" s="38" t="s">
        <v>101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2.75">
      <c r="A201" s="38" t="s">
        <v>438</v>
      </c>
      <c r="B201" s="38" t="s">
        <v>439</v>
      </c>
      <c r="C201" s="38" t="s">
        <v>93</v>
      </c>
      <c r="D201" s="42">
        <v>3</v>
      </c>
      <c r="E201" s="38">
        <v>224.33</v>
      </c>
      <c r="F201" s="38">
        <f t="shared" si="4"/>
        <v>672.99</v>
      </c>
    </row>
    <row r="202" spans="1:6" ht="15">
      <c r="B202" s="6" t="s">
        <v>440</v>
      </c>
      <c r="F202" s="6">
        <f>SUM(F189:F201)</f>
        <v>232807.83</v>
      </c>
    </row>
    <row r="203" spans="1:6" ht="15">
      <c r="B203" s="6" t="s">
        <v>441</v>
      </c>
    </row>
    <row r="204" spans="1:6" ht="57">
      <c r="A204" s="38" t="s">
        <v>442</v>
      </c>
      <c r="B204" s="38" t="s">
        <v>443</v>
      </c>
      <c r="C204" s="38" t="s">
        <v>112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71.25">
      <c r="A205" s="38" t="s">
        <v>444</v>
      </c>
      <c r="B205" s="38" t="s">
        <v>445</v>
      </c>
      <c r="C205" s="38" t="s">
        <v>112</v>
      </c>
      <c r="D205" s="42">
        <v>1</v>
      </c>
      <c r="E205" s="38">
        <v>4520.67</v>
      </c>
      <c r="F205" s="38">
        <f t="shared" si="5"/>
        <v>4520.67</v>
      </c>
    </row>
    <row r="206" spans="1:6" ht="57">
      <c r="A206" s="38" t="s">
        <v>446</v>
      </c>
      <c r="B206" s="38" t="s">
        <v>447</v>
      </c>
      <c r="C206" s="38" t="s">
        <v>112</v>
      </c>
      <c r="D206" s="42">
        <v>1</v>
      </c>
      <c r="E206" s="38">
        <v>31258.34</v>
      </c>
      <c r="F206" s="38">
        <f t="shared" si="5"/>
        <v>31258.34</v>
      </c>
    </row>
    <row r="207" spans="1:6" ht="57">
      <c r="A207" s="38" t="s">
        <v>448</v>
      </c>
      <c r="B207" s="38" t="s">
        <v>449</v>
      </c>
      <c r="C207" s="38" t="s">
        <v>112</v>
      </c>
      <c r="D207" s="42">
        <v>1</v>
      </c>
      <c r="E207" s="38">
        <v>14410.86</v>
      </c>
      <c r="F207" s="38">
        <f t="shared" si="5"/>
        <v>14410.86</v>
      </c>
    </row>
    <row r="208" spans="1:6" ht="57">
      <c r="A208" s="38" t="s">
        <v>450</v>
      </c>
      <c r="B208" s="38" t="s">
        <v>451</v>
      </c>
      <c r="C208" s="38" t="s">
        <v>112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71.25">
      <c r="A209" s="38" t="s">
        <v>452</v>
      </c>
      <c r="B209" s="38" t="s">
        <v>453</v>
      </c>
      <c r="C209" s="38" t="s">
        <v>112</v>
      </c>
      <c r="D209" s="42">
        <v>1</v>
      </c>
      <c r="E209" s="38">
        <v>13881.46</v>
      </c>
      <c r="F209" s="38">
        <f t="shared" si="5"/>
        <v>13881.46</v>
      </c>
    </row>
    <row r="210" spans="1:6" ht="57">
      <c r="A210" s="38" t="s">
        <v>454</v>
      </c>
      <c r="B210" s="38" t="s">
        <v>455</v>
      </c>
      <c r="C210" s="38" t="s">
        <v>112</v>
      </c>
      <c r="D210" s="42">
        <v>1</v>
      </c>
      <c r="E210" s="38">
        <v>3427.29</v>
      </c>
      <c r="F210" s="38">
        <f t="shared" si="5"/>
        <v>3427.29</v>
      </c>
    </row>
    <row r="211" spans="1:6" ht="57">
      <c r="A211" s="38" t="s">
        <v>456</v>
      </c>
      <c r="B211" s="38" t="s">
        <v>457</v>
      </c>
      <c r="C211" s="38" t="s">
        <v>112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7">
      <c r="A212" s="38" t="s">
        <v>458</v>
      </c>
      <c r="B212" s="38" t="s">
        <v>459</v>
      </c>
      <c r="C212" s="38" t="s">
        <v>112</v>
      </c>
      <c r="D212" s="42">
        <v>1</v>
      </c>
      <c r="E212" s="38">
        <v>6250.96</v>
      </c>
      <c r="F212" s="38">
        <f t="shared" si="5"/>
        <v>6250.96</v>
      </c>
    </row>
    <row r="213" spans="1:6" ht="57">
      <c r="A213" s="38" t="s">
        <v>460</v>
      </c>
      <c r="B213" s="38" t="s">
        <v>461</v>
      </c>
      <c r="C213" s="38" t="s">
        <v>112</v>
      </c>
      <c r="D213" s="42">
        <v>1</v>
      </c>
      <c r="E213" s="38">
        <v>14085.37</v>
      </c>
      <c r="F213" s="38">
        <f t="shared" si="5"/>
        <v>14085.37</v>
      </c>
    </row>
    <row r="214" spans="1:6" ht="57">
      <c r="A214" s="38" t="s">
        <v>462</v>
      </c>
      <c r="B214" s="38" t="s">
        <v>463</v>
      </c>
      <c r="C214" s="38" t="s">
        <v>112</v>
      </c>
      <c r="D214" s="42">
        <v>1</v>
      </c>
      <c r="E214" s="38">
        <v>7254.51</v>
      </c>
      <c r="F214" s="38">
        <f t="shared" si="5"/>
        <v>7254.51</v>
      </c>
    </row>
    <row r="215" spans="1:6" ht="57">
      <c r="A215" s="38" t="s">
        <v>464</v>
      </c>
      <c r="B215" s="38" t="s">
        <v>465</v>
      </c>
      <c r="C215" s="38" t="s">
        <v>112</v>
      </c>
      <c r="D215" s="42">
        <v>1</v>
      </c>
      <c r="E215" s="38">
        <v>3422.74</v>
      </c>
      <c r="F215" s="38">
        <f t="shared" si="5"/>
        <v>3422.74</v>
      </c>
    </row>
    <row r="216" spans="1:6" ht="57">
      <c r="A216" s="38" t="s">
        <v>466</v>
      </c>
      <c r="B216" s="38" t="s">
        <v>467</v>
      </c>
      <c r="C216" s="38" t="s">
        <v>112</v>
      </c>
      <c r="D216" s="42">
        <v>1</v>
      </c>
      <c r="E216" s="38">
        <v>15569.45</v>
      </c>
      <c r="F216" s="38">
        <f t="shared" si="5"/>
        <v>15569.45</v>
      </c>
    </row>
    <row r="217" spans="1:6" ht="57">
      <c r="A217" s="38" t="s">
        <v>468</v>
      </c>
      <c r="B217" s="38" t="s">
        <v>469</v>
      </c>
      <c r="C217" s="38" t="s">
        <v>112</v>
      </c>
      <c r="D217" s="42">
        <v>1</v>
      </c>
      <c r="E217" s="38">
        <v>10830.67</v>
      </c>
      <c r="F217" s="38">
        <f t="shared" si="5"/>
        <v>10830.67</v>
      </c>
    </row>
    <row r="218" spans="1:6" ht="71.25">
      <c r="A218" s="38" t="s">
        <v>470</v>
      </c>
      <c r="B218" s="38" t="s">
        <v>471</v>
      </c>
      <c r="C218" s="38" t="s">
        <v>112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71.25">
      <c r="A219" s="38" t="s">
        <v>472</v>
      </c>
      <c r="B219" s="38" t="s">
        <v>473</v>
      </c>
      <c r="C219" s="38" t="s">
        <v>112</v>
      </c>
      <c r="D219" s="42">
        <v>1</v>
      </c>
      <c r="E219" s="38">
        <v>3200.05</v>
      </c>
      <c r="F219" s="38">
        <f t="shared" si="5"/>
        <v>3200.05</v>
      </c>
    </row>
    <row r="220" spans="1:6" ht="71.25">
      <c r="A220" s="38" t="s">
        <v>474</v>
      </c>
      <c r="B220" s="38" t="s">
        <v>475</v>
      </c>
      <c r="C220" s="38" t="s">
        <v>112</v>
      </c>
      <c r="D220" s="42">
        <v>1</v>
      </c>
      <c r="E220" s="38">
        <v>823.35</v>
      </c>
      <c r="F220" s="38">
        <f t="shared" si="5"/>
        <v>823.35</v>
      </c>
    </row>
    <row r="221" spans="1:6" ht="71.25">
      <c r="A221" s="38" t="s">
        <v>476</v>
      </c>
      <c r="B221" s="38" t="s">
        <v>477</v>
      </c>
      <c r="C221" s="38" t="s">
        <v>112</v>
      </c>
      <c r="D221" s="42">
        <v>2</v>
      </c>
      <c r="E221" s="38">
        <v>1205.81</v>
      </c>
      <c r="F221" s="38">
        <f t="shared" si="5"/>
        <v>2411.62</v>
      </c>
    </row>
    <row r="222" spans="1:6" ht="15">
      <c r="A222" s="38"/>
      <c r="B222" s="39" t="s">
        <v>478</v>
      </c>
      <c r="C222" s="38"/>
      <c r="D222" s="42"/>
      <c r="E222" s="38"/>
      <c r="F222" s="39">
        <f>SUM(F204:F221)</f>
        <v>179961.02</v>
      </c>
    </row>
    <row r="223" spans="1:6" ht="15">
      <c r="A223" s="38"/>
      <c r="B223" s="39" t="s">
        <v>479</v>
      </c>
      <c r="C223" s="38"/>
      <c r="D223" s="42"/>
      <c r="E223" s="38"/>
      <c r="F223" s="38"/>
    </row>
    <row r="224" spans="1:6" ht="85.5">
      <c r="A224" s="38" t="s">
        <v>480</v>
      </c>
      <c r="B224" s="38" t="s">
        <v>481</v>
      </c>
      <c r="C224" s="38" t="s">
        <v>112</v>
      </c>
      <c r="D224" s="42">
        <v>1</v>
      </c>
      <c r="E224" s="38">
        <v>40501.5</v>
      </c>
      <c r="F224" s="38">
        <f t="shared" si="5"/>
        <v>40501.5</v>
      </c>
    </row>
    <row r="225" spans="1:6" ht="57">
      <c r="A225" s="38" t="s">
        <v>482</v>
      </c>
      <c r="B225" s="38" t="s">
        <v>483</v>
      </c>
      <c r="C225" s="38" t="s">
        <v>112</v>
      </c>
      <c r="D225" s="42">
        <v>1</v>
      </c>
      <c r="E225" s="38">
        <v>6760</v>
      </c>
      <c r="F225" s="38">
        <f t="shared" si="5"/>
        <v>6760</v>
      </c>
    </row>
    <row r="226" spans="1:6" ht="15">
      <c r="A226" s="38"/>
      <c r="B226" s="39" t="s">
        <v>484</v>
      </c>
      <c r="C226" s="38"/>
      <c r="D226" s="42"/>
      <c r="E226" s="38"/>
      <c r="F226" s="39">
        <f>SUM(F224:F225)</f>
        <v>47261.5</v>
      </c>
    </row>
    <row r="227" spans="1:6" ht="15">
      <c r="A227" s="38"/>
      <c r="B227" s="39" t="s">
        <v>485</v>
      </c>
      <c r="C227" s="38"/>
      <c r="D227" s="42"/>
      <c r="E227" s="38"/>
      <c r="F227" s="38"/>
    </row>
    <row r="228" spans="1:6" ht="42.75">
      <c r="A228" s="38" t="s">
        <v>486</v>
      </c>
      <c r="B228" s="38" t="s">
        <v>487</v>
      </c>
      <c r="C228" s="38" t="s">
        <v>143</v>
      </c>
      <c r="D228" s="42">
        <v>1</v>
      </c>
      <c r="E228" s="38">
        <v>3279.9</v>
      </c>
      <c r="F228" s="38">
        <f t="shared" si="5"/>
        <v>3279.9</v>
      </c>
    </row>
    <row r="229" spans="1:6" ht="42.75">
      <c r="A229" s="38" t="s">
        <v>488</v>
      </c>
      <c r="B229" s="38" t="s">
        <v>489</v>
      </c>
      <c r="C229" s="38" t="s">
        <v>143</v>
      </c>
      <c r="D229" s="42">
        <v>1</v>
      </c>
      <c r="E229" s="38">
        <v>3279.9</v>
      </c>
      <c r="F229" s="38">
        <f t="shared" si="5"/>
        <v>3279.9</v>
      </c>
    </row>
    <row r="230" spans="1:6" ht="15">
      <c r="A230" s="38"/>
      <c r="B230" s="39" t="s">
        <v>490</v>
      </c>
      <c r="C230" s="38"/>
      <c r="D230" s="42"/>
      <c r="E230" s="38"/>
      <c r="F230" s="39">
        <f>SUM(F228:F229)</f>
        <v>6559.8</v>
      </c>
    </row>
    <row r="232" spans="1:6" ht="15">
      <c r="B232" s="6" t="s">
        <v>493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25"/>
  <sheetViews>
    <sheetView tabSelected="1" zoomScale="80" zoomScaleNormal="80" workbookViewId="0">
      <pane xSplit="8" ySplit="5" topLeftCell="I29" activePane="bottomRight" state="frozen"/>
      <selection activeCell="B13" sqref="B13"/>
      <selection pane="topRight" activeCell="B13" sqref="B13"/>
      <selection pane="bottomLeft" activeCell="B13" sqref="B13"/>
      <selection pane="bottomRight" activeCell="G38" sqref="G38"/>
    </sheetView>
  </sheetViews>
  <sheetFormatPr baseColWidth="10" defaultColWidth="11.625" defaultRowHeight="14.25"/>
  <cols>
    <col min="1" max="2" width="11.625" style="1"/>
    <col min="3" max="3" width="13.375" style="1" bestFit="1" customWidth="1"/>
    <col min="4" max="4" width="45.25" style="1" customWidth="1"/>
    <col min="5" max="5" width="11.625" style="9"/>
    <col min="6" max="16384" width="11.625" style="1"/>
  </cols>
  <sheetData>
    <row r="2" spans="1:8">
      <c r="E2" s="9" t="s">
        <v>83</v>
      </c>
    </row>
    <row r="5" spans="1:8" s="8" customFormat="1" ht="28.15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>
      <c r="A6" s="10" t="s">
        <v>89</v>
      </c>
      <c r="B6" s="52" t="str">
        <f>VLOOKUP(A6,PRE!$A$8:$F$232,2,0)</f>
        <v>LIMPIEZA DE TERRENO POR MEDIOS MANUALES. INCLUYE CHAPEO DE MALEZA HASTA 0.90 7M DE ALTURA, MANO DE OBRA, EQUIPO Y HERRAMIENTA.</v>
      </c>
      <c r="C6" s="52"/>
      <c r="D6" s="52"/>
      <c r="E6" s="48" t="s">
        <v>50</v>
      </c>
      <c r="H6" s="14">
        <f>H27</f>
        <v>250.7</v>
      </c>
    </row>
    <row r="8" spans="1:8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IFERROR(VLOOKUP(C8,BA!$A$6:$H$180,{2,5,8},0),{"No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>
      <c r="C9" s="1" t="s">
        <v>529</v>
      </c>
      <c r="D9" s="4" t="str" cm="1">
        <f t="array" ref="D9:F9">IFERROR(VLOOKUP(C9,MA!$A$6:$D$26,{2,3,4},0),IFERROR(VLOOKUP(C9,MO!$A$6:$D$26,{2,3,4},0),IFERROR(VLOOKUP(C9,MQ!$A$6:$D$26,{2,3,4},0),IFERROR(VLOOKUP(C9,BA!$A$6:$H$180,{2,5,8},0),{"No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IFERROR(VLOOKUP(C10,MA!$A$6:$D$26,{2,3,4},0),IFERROR(VLOOKUP(C10,MO!$A$6:$D$26,{2,3,4},0),IFERROR(VLOOKUP(C10,MQ!$A$6:$D$26,{2,3,4},0),IFERROR(VLOOKUP(C10,BA!$A$6:$H$180,{2,5,8},0),{"No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>
      <c r="D11" s="4"/>
    </row>
    <row r="12" spans="1:8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IFERROR(VLOOKUP(C12,BA!$A$6:$H$180,{2,5,8},0),{"No encontrado","X","X"}))))</f>
        <v>ALBAÑIL, OFICIAL</v>
      </c>
      <c r="E12" s="12" t="str">
        <v>JOR</v>
      </c>
      <c r="F12" s="4">
        <v>816.79</v>
      </c>
      <c r="G12" s="1">
        <v>0.1</v>
      </c>
      <c r="H12" s="4">
        <f>G12*F12</f>
        <v>81.680000000000007</v>
      </c>
    </row>
    <row r="13" spans="1:8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IFERROR(VLOOKUP(C13,MA!$A$6:$D$26,{2,3,4},0),IFERROR(VLOOKUP(C13,MO!$A$6:$D$26,{2,3,4},0),IFERROR(VLOOKUP(C13,MQ!$A$6:$D$26,{2,3,4},0),IFERROR(VLOOKUP(C13,BA!$A$6:$H$180,{2,5,8},0),{"No encontrado","X","X"}))))</f>
        <v xml:space="preserve">AYUDANTE GENERAL </v>
      </c>
      <c r="E13" s="12" t="str">
        <v>JOR</v>
      </c>
      <c r="F13" s="4">
        <v>620.70000000000005</v>
      </c>
      <c r="G13" s="1">
        <v>0.1</v>
      </c>
      <c r="H13" s="4">
        <f>G13*F13</f>
        <v>62.07</v>
      </c>
    </row>
    <row r="14" spans="1:8">
      <c r="D14" s="4"/>
      <c r="E14" s="12"/>
      <c r="F14" s="4"/>
      <c r="H14" s="4"/>
    </row>
    <row r="15" spans="1:8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143.75</v>
      </c>
      <c r="G15" s="16">
        <f>k!$D$10</f>
        <v>0.03</v>
      </c>
      <c r="H15" s="16">
        <f>G15*F15</f>
        <v>4.3099999999999996</v>
      </c>
    </row>
    <row r="16" spans="1:8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143.75</v>
      </c>
      <c r="G16" s="16">
        <f>k!$D$11</f>
        <v>0.1</v>
      </c>
      <c r="H16" s="16">
        <f>G16*F16</f>
        <v>14.38</v>
      </c>
    </row>
    <row r="17" spans="1:8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143.75</v>
      </c>
      <c r="G17" s="16">
        <f>k!$D$12</f>
        <v>0.01</v>
      </c>
      <c r="H17" s="16">
        <f>G17*F17</f>
        <v>1.44</v>
      </c>
    </row>
    <row r="18" spans="1:8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143.75</v>
      </c>
      <c r="G18" s="16">
        <f>k!$D$13</f>
        <v>0</v>
      </c>
      <c r="H18" s="16">
        <f>G18*F18</f>
        <v>0</v>
      </c>
    </row>
    <row r="19" spans="1:8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143.75</v>
      </c>
      <c r="G19" s="16">
        <f>k!$D$14</f>
        <v>0</v>
      </c>
      <c r="H19" s="16">
        <f>G19*F19</f>
        <v>0</v>
      </c>
    </row>
    <row r="21" spans="1:8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1:8">
      <c r="C22" s="19" t="str">
        <f>k!$A$3</f>
        <v>IO</v>
      </c>
      <c r="D22" s="19" t="str">
        <f>k!$B$3</f>
        <v>INDIRECTOS OFICINA</v>
      </c>
      <c r="E22" s="20"/>
      <c r="F22" s="22">
        <f>SUM(H8:H19)</f>
        <v>167.88</v>
      </c>
      <c r="G22" s="23">
        <f>k!$D$3</f>
        <v>0.15</v>
      </c>
      <c r="H22" s="19">
        <f>G22*F22</f>
        <v>25.18</v>
      </c>
    </row>
    <row r="23" spans="1:8">
      <c r="C23" s="19" t="str">
        <f>k!$A$4</f>
        <v>IC</v>
      </c>
      <c r="D23" s="19" t="str">
        <f>k!$B$4</f>
        <v>INDIRECTOS DE CAMPO</v>
      </c>
      <c r="E23" s="20"/>
      <c r="F23" s="19">
        <f>F22</f>
        <v>167.88</v>
      </c>
      <c r="G23" s="23">
        <f>k!$D$4</f>
        <v>0.2</v>
      </c>
      <c r="H23" s="19">
        <f>G23*F23</f>
        <v>33.58</v>
      </c>
    </row>
    <row r="24" spans="1:8">
      <c r="C24" s="19" t="str">
        <f>k!$A$5</f>
        <v>FI</v>
      </c>
      <c r="D24" s="19" t="str">
        <f>k!$B$5</f>
        <v>FINANCIAMIENTO</v>
      </c>
      <c r="E24" s="20"/>
      <c r="F24" s="19">
        <f>F23+H22+H23</f>
        <v>226.64</v>
      </c>
      <c r="G24" s="23">
        <f>k!$D$5</f>
        <v>5.5999999999999999E-3</v>
      </c>
      <c r="H24" s="19">
        <f>G24*F24</f>
        <v>1.27</v>
      </c>
    </row>
    <row r="25" spans="1:8">
      <c r="C25" s="19" t="str">
        <f>k!$A$6</f>
        <v>UT</v>
      </c>
      <c r="D25" s="19" t="str">
        <f>k!$B$6</f>
        <v>UTILIDAD</v>
      </c>
      <c r="E25" s="20"/>
      <c r="F25" s="19">
        <f>F24+H24</f>
        <v>227.91</v>
      </c>
      <c r="G25" s="23">
        <f>k!$D$6</f>
        <v>0.1</v>
      </c>
      <c r="H25" s="19">
        <f>G25*F25</f>
        <v>22.79</v>
      </c>
    </row>
    <row r="26" spans="1:8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250.7</v>
      </c>
      <c r="G26" s="23">
        <f>k!$D$7</f>
        <v>0</v>
      </c>
      <c r="H26" s="19">
        <f>G26*F26</f>
        <v>0</v>
      </c>
    </row>
    <row r="27" spans="1:8" s="6" customFormat="1" ht="15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250.7</v>
      </c>
    </row>
    <row r="29" spans="1:8">
      <c r="C29" s="4"/>
      <c r="D29" s="4"/>
      <c r="F29" s="4"/>
      <c r="G29" s="50"/>
      <c r="H29" s="4"/>
    </row>
    <row r="30" spans="1:8" s="6" customFormat="1" ht="60.75" customHeight="1">
      <c r="A30" s="10" t="s">
        <v>51</v>
      </c>
      <c r="B30" s="53" t="s">
        <v>554</v>
      </c>
      <c r="C30" s="53"/>
      <c r="D30" s="53"/>
      <c r="E30" s="13" t="s">
        <v>550</v>
      </c>
      <c r="F30" s="10"/>
      <c r="G30" s="10"/>
      <c r="H30" s="10">
        <f>H54</f>
        <v>4710.6000000000004</v>
      </c>
    </row>
    <row r="32" spans="1:8">
      <c r="C32" s="1" t="s">
        <v>546</v>
      </c>
      <c r="D32" s="4" t="str" cm="1">
        <f t="array" ref="D32:F32">IFERROR(VLOOKUP(C32,MA!$A$6:$D$26,{2,3,4},0),IFERROR(VLOOKUP(C32,MO!$A$6:$D$26,{2,3,4},0),IFERROR(VLOOKUP(C32,MQ!$A$6:$D$26,{2,3,4},0),IFERROR(VLOOKUP(C32,BA!$A$6:$H$180,{2,5,8},0),{"No encontrado","X","X"}))))</f>
        <v>TABIQUE RR 7X14X28</v>
      </c>
      <c r="E32" s="12" t="str">
        <v>MILLAR</v>
      </c>
      <c r="F32" s="4">
        <v>3000</v>
      </c>
      <c r="G32" s="40">
        <f>((1/0.29/0.08*1.03/1000)*(2.08))*2.05</f>
        <v>0.1893</v>
      </c>
      <c r="H32" s="4">
        <f>G32*F32</f>
        <v>567.9</v>
      </c>
    </row>
    <row r="33" spans="3:8">
      <c r="C33" s="1" t="s">
        <v>74</v>
      </c>
      <c r="D33" s="4" t="str" cm="1">
        <f t="array" ref="D33:F33">IFERROR(VLOOKUP(C33,MA!$A$6:$D$26,{2,3,4},0),IFERROR(VLOOKUP(C33,MO!$A$6:$D$26,{2,3,4},0),IFERROR(VLOOKUP(C33,MQ!$A$6:$D$26,{2,3,4},0),IFERROR(VLOOKUP(C33,BA!$A$6:$H$180,{2,5,8},0),{"No encontrado","X","X"}))))</f>
        <v>CONCRETO F'c= 100 Kg/cm2 TMA 3/4" HECHO EN OBRA</v>
      </c>
      <c r="E33" s="12" t="str">
        <v>m3</v>
      </c>
      <c r="F33" s="4">
        <v>3093.51</v>
      </c>
      <c r="G33" s="40">
        <f>((0.7*0.9*0.08)+(0.4*0.6*0.035))*1.05</f>
        <v>6.1699999999999998E-2</v>
      </c>
      <c r="H33" s="4">
        <f t="shared" ref="H33" si="1">G33*F33</f>
        <v>190.87</v>
      </c>
    </row>
    <row r="34" spans="3:8">
      <c r="C34" s="1" t="s">
        <v>552</v>
      </c>
      <c r="D34" s="4" t="str" cm="1">
        <f t="array" ref="D34:F34">IFERROR(VLOOKUP(C34,MA!$A$6:$D$26,{2,3,4},0),IFERROR(VLOOKUP(C34,MO!$A$6:$D$26,{2,3,4},0),IFERROR(VLOOKUP(C34,MQ!$A$6:$D$26,{2,3,4},0),IFERROR(VLOOKUP(C34,BA!$A$6:$H$180,{2,5,8},0),{"No encontrado","X","X"}))))</f>
        <v>MARCO Y CONTRMARCO PARA REGISTRO</v>
      </c>
      <c r="E34" s="12" t="str">
        <v>pza</v>
      </c>
      <c r="F34" s="4">
        <v>387.07</v>
      </c>
      <c r="G34" s="1">
        <v>1</v>
      </c>
      <c r="H34" s="4">
        <f t="shared" ref="H34" si="2">G34*F34</f>
        <v>387.07</v>
      </c>
    </row>
    <row r="35" spans="3:8">
      <c r="C35" s="1" t="s">
        <v>55</v>
      </c>
      <c r="D35" s="4" t="str" cm="1">
        <f t="array" ref="D35:F35">IFERROR(VLOOKUP(C35,MA!$A$6:$D$26,{2,3,4},0),IFERROR(VLOOKUP(C35,MO!$A$6:$D$26,{2,3,4},0),IFERROR(VLOOKUP(C35,MQ!$A$6:$D$26,{2,3,4},0),IFERROR(VLOOKUP(C35,BA!$A$6:$H$180,{2,5,8},0),{"No encontrado","X","X"}))))</f>
        <v>MORTERO CEMENTO-ARENA 1:5</v>
      </c>
      <c r="E35" s="12" t="str">
        <v>m3</v>
      </c>
      <c r="F35" s="4">
        <v>3750.91</v>
      </c>
      <c r="G35" s="40">
        <f>((1*1*0.15-(44*0.07*0.14*0.28))*(2.08))*1.05</f>
        <v>6.3899999999999998E-2</v>
      </c>
      <c r="H35" s="4">
        <f t="shared" ref="H35" si="3">G35*F35</f>
        <v>239.68</v>
      </c>
    </row>
    <row r="36" spans="3:8">
      <c r="C36" s="1" t="s">
        <v>556</v>
      </c>
      <c r="D36" s="4" t="str" cm="1">
        <f t="array" ref="D36:F36">IFERROR(VLOOKUP(C36,MA!$A$6:$D$26,{2,3,4},0),IFERROR(VLOOKUP(C36,MO!$A$6:$D$26,{2,3,4},0),IFERROR(VLOOKUP(C36,MQ!$A$6:$D$26,{2,3,4},0),IFERROR(VLOOKUP(C36,BA!$A$6:$H$180,{2,5,8},0),{"No encontrado","X","X"}))))</f>
        <v xml:space="preserve">MORTERO CEMENTO-AGUA </v>
      </c>
      <c r="E36" s="12" t="str">
        <v>m3</v>
      </c>
      <c r="F36" s="4">
        <v>6929.91</v>
      </c>
      <c r="G36" s="54">
        <f>(((2*0.8)+(0.4*0.6))*0.002)*1.05</f>
        <v>3.8600000000000001E-3</v>
      </c>
      <c r="H36" s="4">
        <f t="shared" ref="H36" si="4">G36*F36</f>
        <v>26.75</v>
      </c>
    </row>
    <row r="37" spans="3:8">
      <c r="C37" s="1" t="s">
        <v>539</v>
      </c>
      <c r="D37" s="4" t="str" cm="1">
        <f t="array" ref="D37:F37">IFERROR(VLOOKUP(C37,MA!$A$6:$D$26,{2,3,4},0),IFERROR(VLOOKUP(C37,MO!$A$6:$D$26,{2,3,4},0),IFERROR(VLOOKUP(C37,MQ!$A$6:$D$26,{2,3,4},0),IFERROR(VLOOKUP(C37,BA!$A$6:$H$180,{2,5,8},0),{"No encontrado","X","X"}))))</f>
        <v>CIMBRA COMUN</v>
      </c>
      <c r="E37" s="12" t="str">
        <v>m2</v>
      </c>
      <c r="F37" s="4">
        <v>404.09</v>
      </c>
      <c r="G37" s="40">
        <f>((0.7*2)+(0.9*2))*0.08</f>
        <v>0.25600000000000001</v>
      </c>
      <c r="H37" s="4">
        <f t="shared" ref="H37" si="5">G37*F37</f>
        <v>103.45</v>
      </c>
    </row>
    <row r="38" spans="3:8">
      <c r="D38" s="4"/>
    </row>
    <row r="39" spans="3:8">
      <c r="C39" s="1" t="s">
        <v>8</v>
      </c>
      <c r="D39" s="4" t="str" cm="1">
        <f t="array" ref="D39:F39">IFERROR(VLOOKUP(C39,MA!$A$6:$D$26,{2,3,4},0),IFERROR(VLOOKUP(C39,MO!$A$6:$D$26,{2,3,4},0),IFERROR(VLOOKUP(C39,MQ!$A$6:$D$26,{2,3,4},0),IFERROR(VLOOKUP(C39,BA!$A$6:$H$180,{2,5,8},0),{"No encontrado","X","X"}))))</f>
        <v>ALBAÑIL, OFICIAL</v>
      </c>
      <c r="E39" s="12" t="str">
        <v>JOR</v>
      </c>
      <c r="F39" s="4">
        <v>816.79</v>
      </c>
      <c r="G39" s="1">
        <v>1</v>
      </c>
      <c r="H39" s="4">
        <f t="shared" ref="H39:H40" si="6">G39*F39</f>
        <v>816.79</v>
      </c>
    </row>
    <row r="40" spans="3:8">
      <c r="C40" s="1" t="s">
        <v>11</v>
      </c>
      <c r="D40" s="4" t="str" cm="1">
        <f t="array" ref="D40:F40">IFERROR(VLOOKUP(C40,MA!$A$6:$D$26,{2,3,4},0),IFERROR(VLOOKUP(C40,MO!$A$6:$D$26,{2,3,4},0),IFERROR(VLOOKUP(C40,MQ!$A$6:$D$26,{2,3,4},0),IFERROR(VLOOKUP(C40,BA!$A$6:$H$180,{2,5,8},0),{"No encontrado","X","X"}))))</f>
        <v xml:space="preserve">AYUDANTE GENERAL </v>
      </c>
      <c r="E40" s="12" t="str">
        <v>JOR</v>
      </c>
      <c r="F40" s="4">
        <v>620.70000000000005</v>
      </c>
      <c r="G40" s="1">
        <v>1</v>
      </c>
      <c r="H40" s="4">
        <f t="shared" si="6"/>
        <v>620.70000000000005</v>
      </c>
    </row>
    <row r="42" spans="3:8">
      <c r="C42" s="15" t="str">
        <f>k!$A$10</f>
        <v>HE001</v>
      </c>
      <c r="D42" s="16" t="str">
        <f>k!$B$10</f>
        <v>HERRAMIENTA MENOR</v>
      </c>
      <c r="E42" s="17" t="s">
        <v>33</v>
      </c>
      <c r="F42" s="18">
        <f>SUM(H39:H40)</f>
        <v>1437.49</v>
      </c>
      <c r="G42" s="16">
        <f>k!$D$10</f>
        <v>0.03</v>
      </c>
      <c r="H42" s="16">
        <f>G42*F42</f>
        <v>43.12</v>
      </c>
    </row>
    <row r="43" spans="3:8">
      <c r="C43" s="15" t="str">
        <f>k!$A$11</f>
        <v>HE002</v>
      </c>
      <c r="D43" s="16" t="str">
        <f>k!$B$11</f>
        <v>MANDO INTERMEDIO</v>
      </c>
      <c r="E43" s="17" t="s">
        <v>33</v>
      </c>
      <c r="F43" s="16">
        <f>F42</f>
        <v>1437.49</v>
      </c>
      <c r="G43" s="16">
        <f>k!$D$11</f>
        <v>0.1</v>
      </c>
      <c r="H43" s="16">
        <f>G43*F43</f>
        <v>143.75</v>
      </c>
    </row>
    <row r="44" spans="3:8">
      <c r="C44" s="15" t="str">
        <f>k!$A$12</f>
        <v>HE003</v>
      </c>
      <c r="D44" s="16" t="str">
        <f>k!$B$12</f>
        <v>EQUIPO DE SEGURIDAD</v>
      </c>
      <c r="E44" s="17" t="s">
        <v>33</v>
      </c>
      <c r="F44" s="16">
        <f t="shared" ref="F44:F46" si="7">F43</f>
        <v>1437.49</v>
      </c>
      <c r="G44" s="16">
        <f>k!$D$12</f>
        <v>0.01</v>
      </c>
      <c r="H44" s="16">
        <f>G44*F44</f>
        <v>14.37</v>
      </c>
    </row>
    <row r="45" spans="3:8">
      <c r="C45" s="15" t="str">
        <f>k!$A$13</f>
        <v>HE004</v>
      </c>
      <c r="D45" s="16" t="str">
        <f>k!$B$13</f>
        <v>PRESTACIONES S.S.</v>
      </c>
      <c r="E45" s="17" t="s">
        <v>33</v>
      </c>
      <c r="F45" s="16">
        <f t="shared" si="7"/>
        <v>1437.49</v>
      </c>
      <c r="G45" s="16">
        <f>k!$D$13</f>
        <v>0</v>
      </c>
      <c r="H45" s="16">
        <f>G45*F45</f>
        <v>0</v>
      </c>
    </row>
    <row r="46" spans="3:8">
      <c r="C46" s="15" t="str">
        <f>k!$A$14</f>
        <v>HE005</v>
      </c>
      <c r="D46" s="16" t="str">
        <f>k!$B$14</f>
        <v>IMPUESTO SOBRE NOMINA</v>
      </c>
      <c r="E46" s="17" t="s">
        <v>33</v>
      </c>
      <c r="F46" s="16">
        <f t="shared" si="7"/>
        <v>1437.49</v>
      </c>
      <c r="G46" s="16">
        <f>k!$D$14</f>
        <v>0</v>
      </c>
      <c r="H46" s="16">
        <f>G46*F46</f>
        <v>0</v>
      </c>
    </row>
    <row r="48" spans="3:8">
      <c r="C48" s="19" t="str">
        <f>k!$A$2</f>
        <v>CD</v>
      </c>
      <c r="D48" s="19" t="str">
        <f>k!$B$2</f>
        <v>COSTO DIRECTO</v>
      </c>
      <c r="E48" s="20"/>
      <c r="F48" s="21"/>
      <c r="G48" s="21"/>
      <c r="H48" s="21"/>
    </row>
    <row r="49" spans="2:8">
      <c r="C49" s="19" t="str">
        <f>k!$A$3</f>
        <v>IO</v>
      </c>
      <c r="D49" s="19" t="str">
        <f>k!$B$3</f>
        <v>INDIRECTOS OFICINA</v>
      </c>
      <c r="E49" s="20"/>
      <c r="F49" s="22">
        <f>SUM(H32:H46)</f>
        <v>3154.45</v>
      </c>
      <c r="G49" s="23">
        <f>k!$D$3</f>
        <v>0.15</v>
      </c>
      <c r="H49" s="19">
        <f>G49*F49</f>
        <v>473.17</v>
      </c>
    </row>
    <row r="50" spans="2:8">
      <c r="C50" s="19" t="str">
        <f>k!$A$4</f>
        <v>IC</v>
      </c>
      <c r="D50" s="19" t="str">
        <f>k!$B$4</f>
        <v>INDIRECTOS DE CAMPO</v>
      </c>
      <c r="E50" s="20"/>
      <c r="F50" s="19">
        <f>F49</f>
        <v>3154.45</v>
      </c>
      <c r="G50" s="23">
        <f>k!$D$4</f>
        <v>0.2</v>
      </c>
      <c r="H50" s="19">
        <f>G50*F50</f>
        <v>630.89</v>
      </c>
    </row>
    <row r="51" spans="2:8">
      <c r="C51" s="19" t="str">
        <f>k!$A$5</f>
        <v>FI</v>
      </c>
      <c r="D51" s="19" t="str">
        <f>k!$B$5</f>
        <v>FINANCIAMIENTO</v>
      </c>
      <c r="E51" s="20"/>
      <c r="F51" s="19">
        <f>F50+H49+H50</f>
        <v>4258.51</v>
      </c>
      <c r="G51" s="23">
        <f>k!$D$5</f>
        <v>5.5999999999999999E-3</v>
      </c>
      <c r="H51" s="19">
        <f>G51*F51</f>
        <v>23.85</v>
      </c>
    </row>
    <row r="52" spans="2:8">
      <c r="C52" s="19" t="str">
        <f>k!$A$6</f>
        <v>UT</v>
      </c>
      <c r="D52" s="19" t="str">
        <f>k!$B$6</f>
        <v>UTILIDAD</v>
      </c>
      <c r="E52" s="20"/>
      <c r="F52" s="19">
        <f>F51+H51</f>
        <v>4282.3599999999997</v>
      </c>
      <c r="G52" s="23">
        <f>k!$D$6</f>
        <v>0.1</v>
      </c>
      <c r="H52" s="19">
        <f>G52*F52</f>
        <v>428.24</v>
      </c>
    </row>
    <row r="53" spans="2:8">
      <c r="C53" s="19" t="str">
        <f>k!$A$7</f>
        <v>CA</v>
      </c>
      <c r="D53" s="19" t="str">
        <f>k!$B$7</f>
        <v>CARGOS ADICIONALES</v>
      </c>
      <c r="E53" s="20"/>
      <c r="F53" s="19">
        <f>(F52+H52)/(1-G53)</f>
        <v>4710.6000000000004</v>
      </c>
      <c r="G53" s="23">
        <f>k!$D$7</f>
        <v>0</v>
      </c>
      <c r="H53" s="19">
        <f>G53*F53</f>
        <v>0</v>
      </c>
    </row>
    <row r="54" spans="2:8" s="6" customFormat="1" ht="15">
      <c r="C54" s="24" t="str">
        <f>k!$A$8</f>
        <v>PU</v>
      </c>
      <c r="D54" s="24" t="str">
        <f>k!$B$8</f>
        <v>PRECIO UNITARIO</v>
      </c>
      <c r="E54" s="25"/>
      <c r="F54" s="24"/>
      <c r="G54" s="26"/>
      <c r="H54" s="24">
        <f>SUM(H49:H53)+F49</f>
        <v>4710.6000000000004</v>
      </c>
    </row>
    <row r="57" spans="2:8" s="10" customFormat="1">
      <c r="B57" s="38"/>
      <c r="C57" s="38"/>
      <c r="D57" s="38"/>
      <c r="E57" s="13"/>
    </row>
    <row r="79" spans="2:4" s="10" customFormat="1" ht="33.6" customHeight="1">
      <c r="B79" s="53"/>
      <c r="C79" s="53"/>
      <c r="D79" s="53"/>
    </row>
    <row r="104" spans="2:4" s="10" customFormat="1" ht="33.6" customHeight="1">
      <c r="B104" s="53"/>
      <c r="C104" s="53"/>
      <c r="D104" s="53"/>
    </row>
    <row r="125" spans="2:4" s="10" customFormat="1" ht="43.5" customHeight="1">
      <c r="B125" s="53"/>
      <c r="C125" s="53"/>
      <c r="D125" s="53"/>
    </row>
  </sheetData>
  <mergeCells count="5">
    <mergeCell ref="B6:D6"/>
    <mergeCell ref="B79:D79"/>
    <mergeCell ref="B104:D104"/>
    <mergeCell ref="B125:D125"/>
    <mergeCell ref="B30:D30"/>
  </mergeCells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topLeftCell="A4" workbookViewId="0">
      <selection activeCell="D11" sqref="D11"/>
    </sheetView>
  </sheetViews>
  <sheetFormatPr baseColWidth="10" defaultColWidth="11.625" defaultRowHeight="14.25"/>
  <cols>
    <col min="1" max="1" width="11.625" style="1"/>
    <col min="2" max="2" width="37.125" style="1" customWidth="1"/>
    <col min="3" max="16384" width="11.625" style="1"/>
  </cols>
  <sheetData>
    <row r="5" spans="1:4" s="2" customFormat="1" ht="28.15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529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530</v>
      </c>
      <c r="B9" s="1" t="s">
        <v>54</v>
      </c>
      <c r="C9" s="1" t="s">
        <v>52</v>
      </c>
      <c r="D9" s="1">
        <v>450</v>
      </c>
    </row>
    <row r="10" spans="1:4">
      <c r="A10" s="1" t="s">
        <v>531</v>
      </c>
      <c r="B10" s="1" t="s">
        <v>58</v>
      </c>
      <c r="C10" s="1" t="s">
        <v>59</v>
      </c>
      <c r="D10" s="1">
        <v>4600</v>
      </c>
    </row>
    <row r="11" spans="1:4">
      <c r="A11" s="1" t="s">
        <v>532</v>
      </c>
      <c r="B11" s="1" t="s">
        <v>61</v>
      </c>
      <c r="C11" s="1" t="s">
        <v>52</v>
      </c>
      <c r="D11" s="1">
        <v>500</v>
      </c>
    </row>
    <row r="12" spans="1:4">
      <c r="A12" s="1" t="s">
        <v>63</v>
      </c>
      <c r="B12" s="1" t="s">
        <v>533</v>
      </c>
      <c r="C12" s="1" t="s">
        <v>52</v>
      </c>
      <c r="D12" s="1">
        <v>20</v>
      </c>
    </row>
    <row r="13" spans="1:4">
      <c r="A13" s="1" t="s">
        <v>534</v>
      </c>
      <c r="B13" s="1" t="s">
        <v>73</v>
      </c>
      <c r="C13" s="1" t="s">
        <v>52</v>
      </c>
      <c r="D13" s="1">
        <v>600</v>
      </c>
    </row>
    <row r="14" spans="1:4">
      <c r="A14" s="1" t="s">
        <v>535</v>
      </c>
      <c r="B14" s="1" t="s">
        <v>77</v>
      </c>
      <c r="C14" s="1" t="s">
        <v>15</v>
      </c>
      <c r="D14" s="1">
        <v>18</v>
      </c>
    </row>
    <row r="15" spans="1:4">
      <c r="A15" s="1" t="s">
        <v>536</v>
      </c>
      <c r="B15" s="1" t="s">
        <v>79</v>
      </c>
      <c r="C15" s="1" t="s">
        <v>15</v>
      </c>
      <c r="D15" s="1">
        <v>22</v>
      </c>
    </row>
    <row r="16" spans="1:4">
      <c r="A16" s="1" t="s">
        <v>537</v>
      </c>
      <c r="B16" s="1" t="s">
        <v>81</v>
      </c>
      <c r="C16" s="1" t="s">
        <v>82</v>
      </c>
      <c r="D16" s="1">
        <v>45</v>
      </c>
    </row>
    <row r="17" spans="1:4">
      <c r="A17" s="1" t="s">
        <v>540</v>
      </c>
      <c r="B17" s="1" t="s">
        <v>541</v>
      </c>
      <c r="C17" s="1" t="s">
        <v>82</v>
      </c>
      <c r="D17" s="1">
        <f>2154/1.16/19</f>
        <v>97.73</v>
      </c>
    </row>
    <row r="18" spans="1:4">
      <c r="A18" s="1" t="s">
        <v>542</v>
      </c>
      <c r="B18" s="1" t="s">
        <v>543</v>
      </c>
      <c r="C18" s="1" t="s">
        <v>15</v>
      </c>
      <c r="D18" s="1">
        <v>16</v>
      </c>
    </row>
    <row r="19" spans="1:4">
      <c r="A19" s="1" t="s">
        <v>544</v>
      </c>
      <c r="B19" s="1" t="s">
        <v>545</v>
      </c>
      <c r="C19" s="1" t="s">
        <v>82</v>
      </c>
      <c r="D19" s="1">
        <f>127.59</f>
        <v>127.59</v>
      </c>
    </row>
    <row r="20" spans="1:4">
      <c r="A20" s="1" t="s">
        <v>546</v>
      </c>
      <c r="B20" s="1" t="s">
        <v>551</v>
      </c>
      <c r="C20" s="1" t="s">
        <v>547</v>
      </c>
      <c r="D20" s="1">
        <f>3480/1.16</f>
        <v>3000</v>
      </c>
    </row>
    <row r="21" spans="1:4">
      <c r="A21" s="1" t="s">
        <v>548</v>
      </c>
      <c r="B21" s="1" t="s">
        <v>549</v>
      </c>
      <c r="C21" s="1" t="s">
        <v>550</v>
      </c>
      <c r="D21" s="1">
        <f>119/1.16</f>
        <v>102.59</v>
      </c>
    </row>
    <row r="22" spans="1:4">
      <c r="A22" s="1" t="s">
        <v>552</v>
      </c>
      <c r="B22" s="1" t="s">
        <v>553</v>
      </c>
      <c r="C22" s="1" t="s">
        <v>550</v>
      </c>
      <c r="D22" s="1">
        <f>449/1.16</f>
        <v>387.07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topLeftCell="A4" workbookViewId="0">
      <selection activeCell="G19" sqref="G19"/>
    </sheetView>
  </sheetViews>
  <sheetFormatPr baseColWidth="10" defaultColWidth="11.625" defaultRowHeight="14.25"/>
  <cols>
    <col min="1" max="1" width="11.625" style="1"/>
    <col min="2" max="2" width="36.125" style="1" customWidth="1"/>
    <col min="3" max="16384" width="11.625" style="1"/>
  </cols>
  <sheetData>
    <row r="5" spans="1:4" s="2" customFormat="1" ht="28.15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499</v>
      </c>
      <c r="C6" s="1" t="s">
        <v>10</v>
      </c>
      <c r="D6" s="1">
        <v>816.79</v>
      </c>
    </row>
    <row r="7" spans="1:4">
      <c r="A7" s="1" t="s">
        <v>11</v>
      </c>
      <c r="B7" s="1" t="s">
        <v>524</v>
      </c>
      <c r="C7" s="1" t="s">
        <v>10</v>
      </c>
      <c r="D7" s="1">
        <v>620.70000000000005</v>
      </c>
    </row>
    <row r="8" spans="1:4">
      <c r="A8" s="1" t="s">
        <v>12</v>
      </c>
      <c r="B8" s="1" t="s">
        <v>500</v>
      </c>
      <c r="C8" s="1" t="s">
        <v>10</v>
      </c>
      <c r="D8" s="1">
        <v>864.16</v>
      </c>
    </row>
    <row r="9" spans="1:4">
      <c r="A9" s="1" t="s">
        <v>13</v>
      </c>
      <c r="B9" s="1" t="s">
        <v>501</v>
      </c>
      <c r="C9" s="1" t="s">
        <v>10</v>
      </c>
      <c r="D9" s="1">
        <v>881.24</v>
      </c>
    </row>
    <row r="10" spans="1:4">
      <c r="A10" s="1" t="s">
        <v>512</v>
      </c>
      <c r="B10" s="1" t="s">
        <v>502</v>
      </c>
      <c r="C10" s="1" t="s">
        <v>10</v>
      </c>
      <c r="D10" s="1">
        <v>762.57</v>
      </c>
    </row>
    <row r="11" spans="1:4">
      <c r="A11" s="1" t="s">
        <v>513</v>
      </c>
      <c r="B11" s="1" t="s">
        <v>503</v>
      </c>
      <c r="C11" s="1" t="s">
        <v>10</v>
      </c>
      <c r="D11" s="1">
        <v>864.16</v>
      </c>
    </row>
    <row r="12" spans="1:4">
      <c r="A12" s="1" t="s">
        <v>514</v>
      </c>
      <c r="B12" s="1" t="s">
        <v>504</v>
      </c>
      <c r="C12" s="1" t="s">
        <v>10</v>
      </c>
      <c r="D12" s="1">
        <v>623.02</v>
      </c>
    </row>
    <row r="13" spans="1:4">
      <c r="A13" s="1" t="s">
        <v>515</v>
      </c>
      <c r="B13" s="1" t="s">
        <v>525</v>
      </c>
      <c r="C13" s="1" t="s">
        <v>10</v>
      </c>
      <c r="D13" s="1">
        <v>881.24</v>
      </c>
    </row>
    <row r="14" spans="1:4">
      <c r="A14" s="1" t="s">
        <v>516</v>
      </c>
      <c r="B14" s="1" t="s">
        <v>505</v>
      </c>
      <c r="C14" s="1" t="s">
        <v>10</v>
      </c>
      <c r="D14" s="1">
        <v>915.64</v>
      </c>
    </row>
    <row r="15" spans="1:4">
      <c r="A15" s="1" t="s">
        <v>517</v>
      </c>
      <c r="B15" s="1" t="s">
        <v>506</v>
      </c>
      <c r="C15" s="1" t="s">
        <v>10</v>
      </c>
      <c r="D15" s="1">
        <v>989.49</v>
      </c>
    </row>
    <row r="16" spans="1:4">
      <c r="A16" s="1" t="s">
        <v>518</v>
      </c>
      <c r="B16" s="1" t="s">
        <v>507</v>
      </c>
      <c r="C16" s="1" t="s">
        <v>10</v>
      </c>
      <c r="D16" s="1">
        <v>1235.4100000000001</v>
      </c>
    </row>
    <row r="17" spans="1:4">
      <c r="A17" s="1" t="s">
        <v>519</v>
      </c>
      <c r="B17" s="1" t="s">
        <v>9</v>
      </c>
      <c r="C17" s="1" t="s">
        <v>10</v>
      </c>
      <c r="D17" s="1">
        <v>592.9</v>
      </c>
    </row>
    <row r="18" spans="1:4">
      <c r="A18" s="1" t="s">
        <v>520</v>
      </c>
      <c r="B18" s="1" t="s">
        <v>508</v>
      </c>
      <c r="C18" s="1" t="s">
        <v>10</v>
      </c>
      <c r="D18" s="1">
        <v>816.76</v>
      </c>
    </row>
    <row r="19" spans="1:4">
      <c r="A19" s="51" t="s">
        <v>521</v>
      </c>
      <c r="B19" s="51" t="s">
        <v>509</v>
      </c>
      <c r="C19" s="51" t="s">
        <v>10</v>
      </c>
      <c r="D19" s="51">
        <v>849.19</v>
      </c>
    </row>
    <row r="20" spans="1:4">
      <c r="A20" s="1" t="s">
        <v>522</v>
      </c>
      <c r="B20" s="1" t="s">
        <v>510</v>
      </c>
      <c r="C20" s="1" t="s">
        <v>10</v>
      </c>
      <c r="D20" s="1">
        <v>613.32000000000005</v>
      </c>
    </row>
    <row r="21" spans="1:4">
      <c r="A21" s="1" t="s">
        <v>523</v>
      </c>
      <c r="B21" s="1" t="s">
        <v>511</v>
      </c>
      <c r="C21" s="1" t="s">
        <v>10</v>
      </c>
      <c r="D21" s="1">
        <v>884.29</v>
      </c>
    </row>
    <row r="22" spans="1:4">
      <c r="A22" s="1" t="s">
        <v>526</v>
      </c>
      <c r="B22" s="1" t="s">
        <v>527</v>
      </c>
      <c r="C22" s="1" t="s">
        <v>10</v>
      </c>
      <c r="D22" s="1">
        <v>1014.72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workbookViewId="0">
      <selection activeCell="G21" sqref="G21"/>
    </sheetView>
  </sheetViews>
  <sheetFormatPr baseColWidth="10" defaultColWidth="11.625" defaultRowHeight="14.25"/>
  <cols>
    <col min="1" max="1" width="11.625" style="1"/>
    <col min="2" max="2" width="36.125" style="1" customWidth="1"/>
    <col min="3" max="16384" width="11.625" style="1"/>
  </cols>
  <sheetData>
    <row r="2" spans="1:4">
      <c r="C2" s="1" t="s">
        <v>66</v>
      </c>
    </row>
    <row r="5" spans="1:4" s="2" customFormat="1" ht="28.15" customHeight="1">
      <c r="A5" s="2" t="s">
        <v>65</v>
      </c>
      <c r="B5" s="2" t="s">
        <v>3</v>
      </c>
      <c r="C5" s="2" t="s">
        <v>5</v>
      </c>
      <c r="D5" s="2" t="s">
        <v>6</v>
      </c>
    </row>
    <row r="6" spans="1:4">
      <c r="A6" s="1" t="s">
        <v>64</v>
      </c>
      <c r="B6" s="1" t="s">
        <v>68</v>
      </c>
      <c r="C6" s="1" t="s">
        <v>67</v>
      </c>
      <c r="D6" s="1">
        <v>250</v>
      </c>
    </row>
    <row r="26" spans="1:1">
      <c r="A26" s="3" t="s">
        <v>20</v>
      </c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80"/>
  <sheetViews>
    <sheetView zoomScale="80" zoomScaleNormal="80" workbookViewId="0">
      <pane xSplit="8" ySplit="5" topLeftCell="I69" activePane="bottomRight" state="frozen"/>
      <selection pane="topRight" activeCell="I1" sqref="I1"/>
      <selection pane="bottomLeft" activeCell="A6" sqref="A6"/>
      <selection pane="bottomRight" activeCell="G80" sqref="G80"/>
    </sheetView>
  </sheetViews>
  <sheetFormatPr baseColWidth="10" defaultColWidth="11.625" defaultRowHeight="14.25"/>
  <cols>
    <col min="1" max="2" width="11.625" style="1"/>
    <col min="3" max="3" width="13.375" style="1" bestFit="1" customWidth="1"/>
    <col min="4" max="4" width="44" style="1" customWidth="1"/>
    <col min="5" max="5" width="11.625" style="9"/>
    <col min="6" max="16384" width="11.625" style="1"/>
  </cols>
  <sheetData>
    <row r="2" spans="1:8">
      <c r="E2" s="9" t="s">
        <v>69</v>
      </c>
    </row>
    <row r="5" spans="1:8" s="8" customFormat="1" ht="28.15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5" customHeight="1">
      <c r="A6" s="10" t="s">
        <v>55</v>
      </c>
      <c r="B6" s="10" t="s">
        <v>56</v>
      </c>
      <c r="E6" s="13" t="s">
        <v>52</v>
      </c>
      <c r="H6" s="14">
        <f>SUM(H7:H17)</f>
        <v>3750.91</v>
      </c>
    </row>
    <row r="7" spans="1:8">
      <c r="C7" s="1" t="s">
        <v>531</v>
      </c>
      <c r="D7" s="4" t="str" cm="1">
        <f t="array" ref="D7:F7">IFERROR(VLOOKUP(C7,MA!$A$6:$D$26,{2,3,4},0),IFERROR(VLOOKUP(C7,MO!$A$6:$D$26,{2,3,4},0),IFERROR(VLOOKUP(C7,MQ!$A$6:$D$26,{2,3,4},0),IFERROR(VLOOKUP(C7,BA!$A$6:$H$180,{2,5,8},0),{"No encontrado","X","X"}))))</f>
        <v>CEMENTO GRIS EN SACO</v>
      </c>
      <c r="E7" s="12" t="str">
        <v>Ton</v>
      </c>
      <c r="F7" s="4">
        <v>4600</v>
      </c>
      <c r="G7" s="1">
        <v>0.5</v>
      </c>
      <c r="H7" s="4">
        <f>G7*F7</f>
        <v>2300</v>
      </c>
    </row>
    <row r="8" spans="1:8">
      <c r="C8" s="1" t="s">
        <v>532</v>
      </c>
      <c r="D8" s="4" t="str" cm="1">
        <f t="array" ref="D8:F8">IFERROR(VLOOKUP(C8,MA!$A$6:$D$26,{2,3,4},0),IFERROR(VLOOKUP(C8,MO!$A$6:$D$26,{2,3,4},0),IFERROR(VLOOKUP(C8,MQ!$A$6:$D$26,{2,3,4},0),IFERROR(VLOOKUP(C8,BA!$A$6:$H$180,{2,5,8},0),{"No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63</v>
      </c>
      <c r="D9" s="4" t="str" cm="1">
        <f t="array" ref="D9:F9">IFERROR(VLOOKUP(C9,MA!$A$6:$D$26,{2,3,4},0),IFERROR(VLOOKUP(C9,MO!$A$6:$D$26,{2,3,4},0),IFERROR(VLOOKUP(C9,MQ!$A$6:$D$26,{2,3,4},0),IFERROR(VLOOKUP(C9,BA!$A$6:$H$180,{2,5,8},0),{"No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2"/>
    </row>
    <row r="11" spans="1:8">
      <c r="C11" s="1" t="s">
        <v>519</v>
      </c>
      <c r="D11" s="4" t="str" cm="1">
        <f t="array" ref="D11:F11">IFERROR(VLOOKUP(C11,MA!$A$6:$D$26,{2,3,4},0),IFERROR(VLOOKUP(C11,MO!$A$6:$D$26,{2,3,4},0),IFERROR(VLOOKUP(C11,MQ!$A$6:$D$26,{2,3,4},0),IFERROR(VLOOKUP(C11,BA!$A$6:$H$180,{2,5,8},0),{"No encontrado","X","X"}))))</f>
        <v>PEON</v>
      </c>
      <c r="E11" s="12" t="str">
        <v>JOR</v>
      </c>
      <c r="F11" s="4">
        <v>592.9</v>
      </c>
      <c r="G11" s="1">
        <f>8/8</f>
        <v>1</v>
      </c>
      <c r="H11" s="4">
        <f>G11*F11</f>
        <v>592.9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592.9</v>
      </c>
      <c r="G13" s="16">
        <f>k!$D$10</f>
        <v>0.03</v>
      </c>
      <c r="H13" s="16">
        <f>G13*F13</f>
        <v>17.79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592.9</v>
      </c>
      <c r="G14" s="16">
        <f>k!$D$11</f>
        <v>0.1</v>
      </c>
      <c r="H14" s="16">
        <f>G14*F14</f>
        <v>59.29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592.9</v>
      </c>
      <c r="G15" s="16">
        <f>k!$D$12</f>
        <v>0.01</v>
      </c>
      <c r="H15" s="16">
        <f>G15*F15</f>
        <v>5.93</v>
      </c>
    </row>
    <row r="17" spans="1:8">
      <c r="C17" s="1" t="s">
        <v>64</v>
      </c>
      <c r="D17" s="4" t="str" cm="1">
        <f t="array" ref="D17:F17">IFERROR(VLOOKUP(C17,MA!$A$6:$D$26,{2,3,4},0),IFERROR(VLOOKUP(C17,MO!$A$6:$D$26,{2,3,4},0),IFERROR(VLOOKUP(C17,MQ!$A$6:$D$26,{2,3,4},0),IFERROR(VLOOKUP(C17,BA!$A$6:$H$180,{2,5,8},0),{"No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</row>
    <row r="21" spans="1:8" s="10" customFormat="1" ht="47.45" customHeight="1">
      <c r="A21" s="10" t="s">
        <v>70</v>
      </c>
      <c r="B21" s="10" t="s">
        <v>71</v>
      </c>
      <c r="E21" s="13" t="s">
        <v>52</v>
      </c>
      <c r="H21" s="14">
        <f>SUM(H22:H33)</f>
        <v>3475.91</v>
      </c>
    </row>
    <row r="22" spans="1:8">
      <c r="C22" s="1" t="s">
        <v>531</v>
      </c>
      <c r="D22" s="4" t="str" cm="1">
        <f t="array" ref="D22:F22">IFERROR(VLOOKUP(C22,MA!$A$6:$D$26,{2,3,4},0),IFERROR(VLOOKUP(C22,MO!$A$6:$D$26,{2,3,4},0),IFERROR(VLOOKUP(C22,MQ!$A$6:$D$26,{2,3,4},0),IFERROR(VLOOKUP(C22,BA!$A$6:$H$180,{2,5,8},0),{"No encontrado","X","X"}))))</f>
        <v>CEMENTO GRIS EN SACO</v>
      </c>
      <c r="E22" s="12" t="str">
        <v>Ton</v>
      </c>
      <c r="F22" s="4">
        <v>4600</v>
      </c>
      <c r="G22" s="49">
        <v>0.41</v>
      </c>
      <c r="H22" s="4">
        <f t="shared" ref="H22:H33" si="1">G22*F22</f>
        <v>1886</v>
      </c>
    </row>
    <row r="23" spans="1:8">
      <c r="C23" s="1" t="s">
        <v>63</v>
      </c>
      <c r="D23" s="4" t="str" cm="1">
        <f t="array" ref="D23:F23">IFERROR(VLOOKUP(C23,MA!$A$6:$D$26,{2,3,4},0),IFERROR(VLOOKUP(C23,MO!$A$6:$D$26,{2,3,4},0),IFERROR(VLOOKUP(C23,MQ!$A$6:$D$26,{2,3,4},0),IFERROR(VLOOKUP(C23,BA!$A$6:$H$180,{2,5,8},0),{"No encontrado","X","X"}))))</f>
        <v>AGUA EN PIPA</v>
      </c>
      <c r="E23" s="12" t="str">
        <v>m3</v>
      </c>
      <c r="F23" s="4">
        <v>20</v>
      </c>
      <c r="G23" s="49">
        <v>0.5</v>
      </c>
      <c r="H23" s="4">
        <f t="shared" si="1"/>
        <v>10</v>
      </c>
    </row>
    <row r="24" spans="1:8">
      <c r="C24" s="1" t="s">
        <v>534</v>
      </c>
      <c r="D24" s="4" t="str" cm="1">
        <f t="array" ref="D24:F24">IFERROR(VLOOKUP(C24,MA!$A$6:$D$26,{2,3,4},0),IFERROR(VLOOKUP(C24,MO!$A$6:$D$26,{2,3,4},0),IFERROR(VLOOKUP(C24,MQ!$A$6:$D$26,{2,3,4},0),IFERROR(VLOOKUP(C24,BA!$A$6:$H$180,{2,5,8},0),{"No encontrado","X","X"}))))</f>
        <v>GRAVA DE 3/4</v>
      </c>
      <c r="E24" s="12" t="str">
        <v>m3</v>
      </c>
      <c r="F24" s="4">
        <v>600</v>
      </c>
      <c r="G24" s="49">
        <v>0.64</v>
      </c>
      <c r="H24" s="4">
        <f t="shared" si="1"/>
        <v>384</v>
      </c>
    </row>
    <row r="25" spans="1:8">
      <c r="C25" s="1" t="s">
        <v>532</v>
      </c>
      <c r="D25" s="4" t="str" cm="1">
        <f t="array" ref="D25:F25">IFERROR(VLOOKUP(C25,MA!$A$6:$D$26,{2,3,4},0),IFERROR(VLOOKUP(C25,MO!$A$6:$D$26,{2,3,4},0),IFERROR(VLOOKUP(C25,MQ!$A$6:$D$26,{2,3,4},0),IFERROR(VLOOKUP(C25,BA!$A$6:$H$180,{2,5,8},0),{"No encontrado","X","X"}))))</f>
        <v>ARENA DE RIO L.A.B. EN OBRA</v>
      </c>
      <c r="E25" s="12" t="str">
        <v>m3</v>
      </c>
      <c r="F25" s="4">
        <v>500</v>
      </c>
      <c r="G25" s="49">
        <v>0.54</v>
      </c>
      <c r="H25" s="4">
        <f t="shared" si="1"/>
        <v>270</v>
      </c>
    </row>
    <row r="26" spans="1:8">
      <c r="D26" s="4"/>
      <c r="E26" s="12"/>
      <c r="F26" s="4"/>
      <c r="H26" s="4"/>
    </row>
    <row r="27" spans="1:8">
      <c r="C27" s="1" t="s">
        <v>519</v>
      </c>
      <c r="D27" s="4" t="str" cm="1">
        <f t="array" ref="D27:F27">IFERROR(VLOOKUP(C27,MA!$A$6:$D$26,{2,3,4},0),IFERROR(VLOOKUP(C27,MO!$A$6:$D$26,{2,3,4},0),IFERROR(VLOOKUP(C27,MQ!$A$6:$D$26,{2,3,4},0),IFERROR(VLOOKUP(C27,BA!$A$6:$H$180,{2,5,8},0),{"No encontrado","X","X"}))))</f>
        <v>PEON</v>
      </c>
      <c r="E27" s="12" t="str">
        <v>JOR</v>
      </c>
      <c r="F27" s="4">
        <v>592.9</v>
      </c>
      <c r="G27" s="1">
        <v>1</v>
      </c>
      <c r="H27" s="4">
        <f t="shared" si="1"/>
        <v>592.9</v>
      </c>
    </row>
    <row r="28" spans="1:8">
      <c r="D28" s="4"/>
      <c r="E28" s="12"/>
      <c r="F28" s="4"/>
      <c r="H28" s="4"/>
    </row>
    <row r="29" spans="1:8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592.9</v>
      </c>
      <c r="G29" s="16">
        <f>k!$D$10</f>
        <v>0.03</v>
      </c>
      <c r="H29" s="16">
        <f>G29*F29</f>
        <v>17.79</v>
      </c>
    </row>
    <row r="30" spans="1:8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592.9</v>
      </c>
      <c r="G30" s="16">
        <f>k!$D$11</f>
        <v>0.1</v>
      </c>
      <c r="H30" s="16">
        <f>G30*F30</f>
        <v>59.29</v>
      </c>
    </row>
    <row r="31" spans="1:8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2">F30</f>
        <v>592.9</v>
      </c>
      <c r="G31" s="16">
        <f>k!$D$12</f>
        <v>0.01</v>
      </c>
      <c r="H31" s="16">
        <f>G31*F31</f>
        <v>5.93</v>
      </c>
    </row>
    <row r="33" spans="1:8">
      <c r="C33" s="1" t="s">
        <v>64</v>
      </c>
      <c r="D33" s="4" t="str" cm="1">
        <f t="array" ref="D33:F33">IFERROR(VLOOKUP(C33,MA!$A$6:$D$26,{2,3,4},0),IFERROR(VLOOKUP(C33,MO!$A$6:$D$26,{2,3,4},0),IFERROR(VLOOKUP(C33,MQ!$A$6:$D$26,{2,3,4},0),IFERROR(VLOOKUP(C33,BA!$A$6:$H$180,{2,5,8},0),{"No encontrado","X","X"}))))</f>
        <v>REVOLVEDORA 1 SACO</v>
      </c>
      <c r="E33" s="12" t="str">
        <v>Hr</v>
      </c>
      <c r="F33" s="4">
        <v>250</v>
      </c>
      <c r="G33" s="1">
        <v>1</v>
      </c>
      <c r="H33" s="4">
        <f t="shared" si="1"/>
        <v>250</v>
      </c>
    </row>
    <row r="35" spans="1:8">
      <c r="A35" s="10" t="s">
        <v>74</v>
      </c>
      <c r="B35" s="10" t="s">
        <v>555</v>
      </c>
      <c r="C35" s="10"/>
      <c r="D35" s="10"/>
      <c r="E35" s="13" t="s">
        <v>52</v>
      </c>
      <c r="F35" s="10"/>
      <c r="G35" s="10"/>
      <c r="H35" s="14">
        <f t="shared" ref="H35" si="3">SUM(H36:H47)</f>
        <v>3093.51</v>
      </c>
    </row>
    <row r="36" spans="1:8">
      <c r="C36" s="1" t="s">
        <v>531</v>
      </c>
      <c r="D36" s="4" t="str" cm="1">
        <f t="array" ref="D36:F36">IFERROR(VLOOKUP(C36,MA!$A$6:$D$26,{2,3,4},0),IFERROR(VLOOKUP(C36,MO!$A$6:$D$26,{2,3,4},0),IFERROR(VLOOKUP(C36,MQ!$A$6:$D$26,{2,3,4},0),IFERROR(VLOOKUP(C36,BA!$A$6:$H$180,{2,5,8},0),{"No encontrado","X","X"}))))</f>
        <v>CEMENTO GRIS EN SACO</v>
      </c>
      <c r="E36" s="12" t="str">
        <v>Ton</v>
      </c>
      <c r="F36" s="4">
        <v>4600</v>
      </c>
      <c r="G36" s="49">
        <v>0.32600000000000001</v>
      </c>
      <c r="H36" s="4">
        <f t="shared" ref="H36:H39" si="4">G36*F36</f>
        <v>1499.6</v>
      </c>
    </row>
    <row r="37" spans="1:8">
      <c r="C37" s="1" t="s">
        <v>63</v>
      </c>
      <c r="D37" s="4" t="str" cm="1">
        <f t="array" ref="D37:F37">IFERROR(VLOOKUP(C37,MA!$A$6:$D$26,{2,3,4},0),IFERROR(VLOOKUP(C37,MO!$A$6:$D$26,{2,3,4},0),IFERROR(VLOOKUP(C37,MQ!$A$6:$D$26,{2,3,4},0),IFERROR(VLOOKUP(C37,BA!$A$6:$H$180,{2,5,8},0),{"No encontrado","X","X"}))))</f>
        <v>AGUA EN PIPA</v>
      </c>
      <c r="E37" s="12" t="str">
        <v>m3</v>
      </c>
      <c r="F37" s="4">
        <v>20</v>
      </c>
      <c r="G37" s="49">
        <v>0.5</v>
      </c>
      <c r="H37" s="4">
        <f t="shared" si="4"/>
        <v>10</v>
      </c>
    </row>
    <row r="38" spans="1:8">
      <c r="C38" s="1" t="s">
        <v>534</v>
      </c>
      <c r="D38" s="4" t="str" cm="1">
        <f t="array" ref="D38:F38">IFERROR(VLOOKUP(C38,MA!$A$6:$D$26,{2,3,4},0),IFERROR(VLOOKUP(C38,MO!$A$6:$D$26,{2,3,4},0),IFERROR(VLOOKUP(C38,MQ!$A$6:$D$26,{2,3,4},0),IFERROR(VLOOKUP(C38,BA!$A$6:$H$180,{2,5,8},0),{"No encontrado","X","X"}))))</f>
        <v>GRAVA DE 3/4</v>
      </c>
      <c r="E38" s="12" t="str">
        <v>m3</v>
      </c>
      <c r="F38" s="4">
        <v>600</v>
      </c>
      <c r="G38" s="49">
        <v>0.65</v>
      </c>
      <c r="H38" s="4">
        <f t="shared" si="4"/>
        <v>390</v>
      </c>
    </row>
    <row r="39" spans="1:8">
      <c r="C39" s="1" t="s">
        <v>532</v>
      </c>
      <c r="D39" s="4" t="str" cm="1">
        <f t="array" ref="D39:F39">IFERROR(VLOOKUP(C39,MA!$A$6:$D$26,{2,3,4},0),IFERROR(VLOOKUP(C39,MO!$A$6:$D$26,{2,3,4},0),IFERROR(VLOOKUP(C39,MQ!$A$6:$D$26,{2,3,4},0),IFERROR(VLOOKUP(C39,BA!$A$6:$H$180,{2,5,8},0),{"No encontrado","X","X"}))))</f>
        <v>ARENA DE RIO L.A.B. EN OBRA</v>
      </c>
      <c r="E39" s="12" t="str">
        <v>m3</v>
      </c>
      <c r="F39" s="4">
        <v>500</v>
      </c>
      <c r="G39" s="49">
        <v>0.53600000000000003</v>
      </c>
      <c r="H39" s="4">
        <f t="shared" si="4"/>
        <v>268</v>
      </c>
    </row>
    <row r="40" spans="1:8">
      <c r="D40" s="4"/>
      <c r="E40" s="12"/>
      <c r="F40" s="4"/>
      <c r="H40" s="4"/>
    </row>
    <row r="41" spans="1:8">
      <c r="C41" s="1" t="s">
        <v>519</v>
      </c>
      <c r="D41" s="4" t="str" cm="1">
        <f t="array" ref="D41:F41">IFERROR(VLOOKUP(C41,MA!$A$6:$D$26,{2,3,4},0),IFERROR(VLOOKUP(C41,MO!$A$6:$D$26,{2,3,4},0),IFERROR(VLOOKUP(C41,MQ!$A$6:$D$26,{2,3,4},0),IFERROR(VLOOKUP(C41,BA!$A$6:$H$180,{2,5,8},0),{"No encontrado","X","X"}))))</f>
        <v>PEON</v>
      </c>
      <c r="E41" s="12" t="str">
        <v>JOR</v>
      </c>
      <c r="F41" s="4">
        <v>592.9</v>
      </c>
      <c r="G41" s="1">
        <v>1</v>
      </c>
      <c r="H41" s="4">
        <f t="shared" ref="H41" si="5">G41*F41</f>
        <v>592.9</v>
      </c>
    </row>
    <row r="42" spans="1:8">
      <c r="D42" s="4"/>
      <c r="E42" s="12"/>
      <c r="F42" s="4"/>
      <c r="H42" s="4"/>
    </row>
    <row r="43" spans="1:8">
      <c r="C43" s="15" t="str">
        <f>k!$A$10</f>
        <v>HE001</v>
      </c>
      <c r="D43" s="16" t="str">
        <f>k!$B$10</f>
        <v>HERRAMIENTA MENOR</v>
      </c>
      <c r="E43" s="17" t="s">
        <v>33</v>
      </c>
      <c r="F43" s="18">
        <f>SUM(H40:H41)</f>
        <v>592.9</v>
      </c>
      <c r="G43" s="16">
        <f>k!$D$10</f>
        <v>0.03</v>
      </c>
      <c r="H43" s="16">
        <f t="shared" ref="H43:H45" si="6">G43*F43</f>
        <v>17.79</v>
      </c>
    </row>
    <row r="44" spans="1:8">
      <c r="C44" s="15" t="str">
        <f>k!$A$11</f>
        <v>HE002</v>
      </c>
      <c r="D44" s="16" t="str">
        <f>k!$B$11</f>
        <v>MANDO INTERMEDIO</v>
      </c>
      <c r="E44" s="17" t="s">
        <v>33</v>
      </c>
      <c r="F44" s="16">
        <f t="shared" ref="F44:F45" si="7">F43</f>
        <v>592.9</v>
      </c>
      <c r="G44" s="16">
        <f>k!$D$11</f>
        <v>0.1</v>
      </c>
      <c r="H44" s="16">
        <f t="shared" si="6"/>
        <v>59.29</v>
      </c>
    </row>
    <row r="45" spans="1:8">
      <c r="C45" s="15" t="str">
        <f>k!$A$12</f>
        <v>HE003</v>
      </c>
      <c r="D45" s="16" t="str">
        <f>k!$B$12</f>
        <v>EQUIPO DE SEGURIDAD</v>
      </c>
      <c r="E45" s="17" t="s">
        <v>33</v>
      </c>
      <c r="F45" s="16">
        <f t="shared" si="7"/>
        <v>592.9</v>
      </c>
      <c r="G45" s="16">
        <f>k!$D$12</f>
        <v>0.01</v>
      </c>
      <c r="H45" s="16">
        <f t="shared" si="6"/>
        <v>5.93</v>
      </c>
    </row>
    <row r="46" spans="1:8">
      <c r="D46" s="4"/>
      <c r="E46" s="12"/>
      <c r="F46" s="4"/>
      <c r="H46" s="4"/>
    </row>
    <row r="47" spans="1:8">
      <c r="C47" s="1" t="s">
        <v>64</v>
      </c>
      <c r="D47" s="4" t="str" cm="1">
        <f t="array" ref="D47:F47">IFERROR(VLOOKUP(C47,MA!$A$6:$D$26,{2,3,4},0),IFERROR(VLOOKUP(C47,MO!$A$6:$D$26,{2,3,4},0),IFERROR(VLOOKUP(C47,MQ!$A$6:$D$26,{2,3,4},0),IFERROR(VLOOKUP(C47,BA!$A$6:$H$180,{2,5,8},0),{"No encontrado","X","X"}))))</f>
        <v>REVOLVEDORA 1 SACO</v>
      </c>
      <c r="E47" s="12" t="str">
        <v>Hr</v>
      </c>
      <c r="F47" s="4">
        <v>250</v>
      </c>
      <c r="G47" s="1">
        <v>1</v>
      </c>
      <c r="H47" s="4">
        <f t="shared" ref="H47" si="8">G47*F47</f>
        <v>250</v>
      </c>
    </row>
    <row r="49" spans="1:8" s="10" customFormat="1" ht="47.45" customHeight="1">
      <c r="A49" s="10" t="s">
        <v>539</v>
      </c>
      <c r="B49" s="10" t="s">
        <v>75</v>
      </c>
      <c r="E49" s="13" t="s">
        <v>50</v>
      </c>
      <c r="H49" s="14">
        <f>SUM(H50:H60)</f>
        <v>404.09</v>
      </c>
    </row>
    <row r="50" spans="1:8">
      <c r="C50" s="1" t="s">
        <v>529</v>
      </c>
      <c r="D50" s="4" t="str" cm="1">
        <f t="array" ref="D50:F50">IFERROR(VLOOKUP(C50,MA!$A$6:$D$26,{2,3,4},0),IFERROR(VLOOKUP(C50,MO!$A$6:$D$26,{2,3,4},0),IFERROR(VLOOKUP(C50,MQ!$A$6:$D$26,{2,3,4},0),IFERROR(VLOOKUP(C50,BA!$A$6:$H$180,{2,5,8},0),{"No encontrado","X","X"}))))</f>
        <v>MADERA DE PINO DE TERCERA</v>
      </c>
      <c r="E50" s="12" t="str">
        <v>Pt</v>
      </c>
      <c r="F50" s="4">
        <v>10</v>
      </c>
      <c r="G50" s="1">
        <f>11/5*1.25</f>
        <v>2.75</v>
      </c>
      <c r="H50" s="4">
        <f t="shared" ref="H50:H56" si="9">G50*F50</f>
        <v>27.5</v>
      </c>
    </row>
    <row r="51" spans="1:8">
      <c r="C51" s="1" t="s">
        <v>35</v>
      </c>
      <c r="D51" s="4" t="str" cm="1">
        <f t="array" ref="D51:F51">IFERROR(VLOOKUP(C51,MA!$A$6:$D$26,{2,3,4},0),IFERROR(VLOOKUP(C51,MO!$A$6:$D$26,{2,3,4},0),IFERROR(VLOOKUP(C51,MQ!$A$6:$D$26,{2,3,4},0),IFERROR(VLOOKUP(C51,BA!$A$6:$H$180,{2,5,8},0),{"No encontrado","X","X"}))))</f>
        <v>CLAVO</v>
      </c>
      <c r="E51" s="12" t="str">
        <v>Kg</v>
      </c>
      <c r="F51" s="4">
        <v>36</v>
      </c>
      <c r="G51" s="1">
        <v>0.1</v>
      </c>
      <c r="H51" s="4">
        <f t="shared" si="9"/>
        <v>3.6</v>
      </c>
    </row>
    <row r="52" spans="1:8">
      <c r="C52" s="1" t="s">
        <v>536</v>
      </c>
      <c r="D52" s="4" t="str" cm="1">
        <f t="array" ref="D52:F52">IFERROR(VLOOKUP(C52,MA!$A$6:$D$26,{2,3,4},0),IFERROR(VLOOKUP(C52,MO!$A$6:$D$26,{2,3,4},0),IFERROR(VLOOKUP(C52,MQ!$A$6:$D$26,{2,3,4},0),IFERROR(VLOOKUP(C52,BA!$A$6:$H$180,{2,5,8},0),{"No encontrado","X","X"}))))</f>
        <v>ALAMBRE RECOCIDO</v>
      </c>
      <c r="E52" s="12" t="str">
        <v>Kg</v>
      </c>
      <c r="F52" s="4">
        <v>22</v>
      </c>
      <c r="G52" s="1">
        <v>0.5</v>
      </c>
      <c r="H52" s="4">
        <f t="shared" ref="H52" si="10">G52*F52</f>
        <v>11</v>
      </c>
    </row>
    <row r="53" spans="1:8">
      <c r="C53" s="1" t="s">
        <v>540</v>
      </c>
      <c r="D53" s="4" t="str" cm="1">
        <f t="array" ref="D53:F53">IFERROR(VLOOKUP(C53,MA!$A$6:$D$26,{2,3,4},0),IFERROR(VLOOKUP(C53,MO!$A$6:$D$26,{2,3,4},0),IFERROR(VLOOKUP(C53,MQ!$A$6:$D$26,{2,3,4},0),IFERROR(VLOOKUP(C53,BA!$A$6:$H$180,{2,5,8},0),{"No encontrado","X","X"}))))</f>
        <v>DESMOLDANTE</v>
      </c>
      <c r="E53" s="12" t="str">
        <v>Lt</v>
      </c>
      <c r="F53" s="4">
        <v>97.73</v>
      </c>
      <c r="G53" s="1">
        <f>1/5</f>
        <v>0.2</v>
      </c>
      <c r="H53" s="4">
        <f t="shared" ref="H53" si="11">G53*F53</f>
        <v>19.55</v>
      </c>
    </row>
    <row r="54" spans="1:8">
      <c r="D54" s="4"/>
      <c r="E54" s="12"/>
      <c r="F54" s="4"/>
      <c r="H54" s="4"/>
    </row>
    <row r="55" spans="1:8">
      <c r="C55" s="1" t="s">
        <v>13</v>
      </c>
      <c r="D55" s="4" t="str" cm="1">
        <f t="array" ref="D55:F55">IFERROR(VLOOKUP(C55,MA!$A$6:$D$26,{2,3,4},0),IFERROR(VLOOKUP(C55,MO!$A$6:$D$26,{2,3,4},0),IFERROR(VLOOKUP(C55,MQ!$A$6:$D$26,{2,3,4},0),IFERROR(VLOOKUP(C55,BA!$A$6:$H$180,{2,5,8},0),{"No encontrado","X","X"}))))</f>
        <v>CARPINTERO DE OBRA NEGRA, OFICIAL</v>
      </c>
      <c r="E55" s="12" t="str">
        <v>JOR</v>
      </c>
      <c r="F55" s="4">
        <v>881.24</v>
      </c>
      <c r="G55" s="1">
        <v>0.2</v>
      </c>
      <c r="H55" s="4">
        <f t="shared" ref="H55" si="12">G55*F55</f>
        <v>176.25</v>
      </c>
    </row>
    <row r="56" spans="1:8">
      <c r="C56" s="1" t="s">
        <v>11</v>
      </c>
      <c r="D56" s="4" t="str" cm="1">
        <f t="array" ref="D56:F56">IFERROR(VLOOKUP(C56,MA!$A$6:$D$26,{2,3,4},0),IFERROR(VLOOKUP(C56,MO!$A$6:$D$26,{2,3,4},0),IFERROR(VLOOKUP(C56,MQ!$A$6:$D$26,{2,3,4},0),IFERROR(VLOOKUP(C56,BA!$A$6:$H$180,{2,5,8},0),{"No encontrado","X","X"}))))</f>
        <v xml:space="preserve">AYUDANTE GENERAL </v>
      </c>
      <c r="E56" s="12" t="str">
        <v>JOR</v>
      </c>
      <c r="F56" s="4">
        <v>620.70000000000005</v>
      </c>
      <c r="G56" s="1">
        <v>0.2</v>
      </c>
      <c r="H56" s="4">
        <f t="shared" si="9"/>
        <v>124.14</v>
      </c>
    </row>
    <row r="57" spans="1:8">
      <c r="D57" s="4"/>
      <c r="E57" s="12"/>
    </row>
    <row r="58" spans="1:8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300.39</v>
      </c>
      <c r="G58" s="16">
        <f>k!$D$10</f>
        <v>0.03</v>
      </c>
      <c r="H58" s="16">
        <f>G58*F58</f>
        <v>9.01</v>
      </c>
    </row>
    <row r="59" spans="1:8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300.39</v>
      </c>
      <c r="G59" s="16">
        <f>k!$D$11</f>
        <v>0.1</v>
      </c>
      <c r="H59" s="16">
        <f>G59*F59</f>
        <v>30.04</v>
      </c>
    </row>
    <row r="60" spans="1:8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" si="13">F59</f>
        <v>300.39</v>
      </c>
      <c r="G60" s="16">
        <f>k!$D$12</f>
        <v>0.01</v>
      </c>
      <c r="H60" s="16">
        <f>G60*F60</f>
        <v>3</v>
      </c>
    </row>
    <row r="63" spans="1:8">
      <c r="A63" s="10"/>
      <c r="B63" s="10" t="s">
        <v>538</v>
      </c>
      <c r="C63" s="10"/>
      <c r="D63" s="10"/>
      <c r="E63" s="13" t="s">
        <v>52</v>
      </c>
      <c r="F63" s="10"/>
      <c r="G63" s="10"/>
      <c r="H63" s="14">
        <f t="shared" ref="H63" si="14">SUM(H64:H75)</f>
        <v>2743.91</v>
      </c>
    </row>
    <row r="64" spans="1:8">
      <c r="C64" s="1" t="s">
        <v>531</v>
      </c>
      <c r="D64" s="4" t="str" cm="1">
        <f t="array" ref="D64:F64">IFERROR(VLOOKUP(C64,MA!$A$6:$D$26,{2,3,4},0),IFERROR(VLOOKUP(C64,MO!$A$6:$D$26,{2,3,4},0),IFERROR(VLOOKUP(C64,MQ!$A$6:$D$26,{2,3,4},0),IFERROR(VLOOKUP(C64,BA!$A$6:$H$180,{2,5,8},0),{"No encontrado","X","X"}))))</f>
        <v>CEMENTO GRIS EN SACO</v>
      </c>
      <c r="E64" s="12" t="str">
        <v>Ton</v>
      </c>
      <c r="F64" s="4">
        <v>4600</v>
      </c>
      <c r="G64" s="49">
        <v>0.25</v>
      </c>
      <c r="H64" s="4">
        <f t="shared" ref="H64:H67" si="15">G64*F64</f>
        <v>1150</v>
      </c>
    </row>
    <row r="65" spans="1:8">
      <c r="C65" s="1" t="s">
        <v>63</v>
      </c>
      <c r="D65" s="4" t="str" cm="1">
        <f t="array" ref="D65:F65">IFERROR(VLOOKUP(C65,MA!$A$6:$D$26,{2,3,4},0),IFERROR(VLOOKUP(C65,MO!$A$6:$D$26,{2,3,4},0),IFERROR(VLOOKUP(C65,MQ!$A$6:$D$26,{2,3,4},0),IFERROR(VLOOKUP(C65,BA!$A$6:$H$180,{2,5,8},0),{"No encontrado","X","X"}))))</f>
        <v>AGUA EN PIPA</v>
      </c>
      <c r="E65" s="12" t="str">
        <v>m3</v>
      </c>
      <c r="F65" s="4">
        <v>20</v>
      </c>
      <c r="G65" s="49">
        <v>0.5</v>
      </c>
      <c r="H65" s="4">
        <f t="shared" si="15"/>
        <v>10</v>
      </c>
    </row>
    <row r="66" spans="1:8">
      <c r="C66" s="1" t="s">
        <v>534</v>
      </c>
      <c r="D66" s="4" t="str" cm="1">
        <f t="array" ref="D66:F66">IFERROR(VLOOKUP(C66,MA!$A$6:$D$26,{2,3,4},0),IFERROR(VLOOKUP(C66,MO!$A$6:$D$26,{2,3,4},0),IFERROR(VLOOKUP(C66,MQ!$A$6:$D$26,{2,3,4},0),IFERROR(VLOOKUP(C66,BA!$A$6:$H$180,{2,5,8},0),{"No encontrado","X","X"}))))</f>
        <v>GRAVA DE 3/4</v>
      </c>
      <c r="E66" s="12" t="str">
        <v>m3</v>
      </c>
      <c r="F66" s="4">
        <v>600</v>
      </c>
      <c r="G66" s="49">
        <v>0.65</v>
      </c>
      <c r="H66" s="4">
        <f t="shared" si="15"/>
        <v>390</v>
      </c>
    </row>
    <row r="67" spans="1:8">
      <c r="C67" s="1" t="s">
        <v>532</v>
      </c>
      <c r="D67" s="4" t="str" cm="1">
        <f t="array" ref="D67:F67">IFERROR(VLOOKUP(C67,MA!$A$6:$D$26,{2,3,4},0),IFERROR(VLOOKUP(C67,MO!$A$6:$D$26,{2,3,4},0),IFERROR(VLOOKUP(C67,MQ!$A$6:$D$26,{2,3,4},0),IFERROR(VLOOKUP(C67,BA!$A$6:$H$180,{2,5,8},0),{"No encontrado","X","X"}))))</f>
        <v>ARENA DE RIO L.A.B. EN OBRA</v>
      </c>
      <c r="E67" s="12" t="str">
        <v>m3</v>
      </c>
      <c r="F67" s="4">
        <v>500</v>
      </c>
      <c r="G67" s="49">
        <v>0.53600000000000003</v>
      </c>
      <c r="H67" s="4">
        <f t="shared" si="15"/>
        <v>268</v>
      </c>
    </row>
    <row r="68" spans="1:8">
      <c r="D68" s="4"/>
      <c r="E68" s="12"/>
      <c r="F68" s="4"/>
      <c r="H68" s="4"/>
    </row>
    <row r="69" spans="1:8">
      <c r="C69" s="1" t="s">
        <v>519</v>
      </c>
      <c r="D69" s="4" t="str" cm="1">
        <f t="array" ref="D69:F69">IFERROR(VLOOKUP(C69,MA!$A$6:$D$26,{2,3,4},0),IFERROR(VLOOKUP(C69,MO!$A$6:$D$26,{2,3,4},0),IFERROR(VLOOKUP(C69,MQ!$A$6:$D$26,{2,3,4},0),IFERROR(VLOOKUP(C69,BA!$A$6:$H$180,{2,5,8},0),{"No encontrado","X","X"}))))</f>
        <v>PEON</v>
      </c>
      <c r="E69" s="12" t="str">
        <v>JOR</v>
      </c>
      <c r="F69" s="4">
        <v>592.9</v>
      </c>
      <c r="G69" s="1">
        <v>1</v>
      </c>
      <c r="H69" s="4">
        <f t="shared" ref="H69" si="16">G69*F69</f>
        <v>592.9</v>
      </c>
    </row>
    <row r="70" spans="1:8">
      <c r="D70" s="4"/>
      <c r="E70" s="12"/>
      <c r="F70" s="4"/>
      <c r="H70" s="4"/>
    </row>
    <row r="71" spans="1:8">
      <c r="C71" s="15" t="str">
        <f>k!$A$10</f>
        <v>HE001</v>
      </c>
      <c r="D71" s="16" t="str">
        <f>k!$B$10</f>
        <v>HERRAMIENTA MENOR</v>
      </c>
      <c r="E71" s="17" t="s">
        <v>33</v>
      </c>
      <c r="F71" s="18">
        <f>SUM(H68:H69)</f>
        <v>592.9</v>
      </c>
      <c r="G71" s="16">
        <f>k!$D$10</f>
        <v>0.03</v>
      </c>
      <c r="H71" s="16">
        <f t="shared" ref="H71:H73" si="17">G71*F71</f>
        <v>17.79</v>
      </c>
    </row>
    <row r="72" spans="1:8">
      <c r="C72" s="15" t="str">
        <f>k!$A$11</f>
        <v>HE002</v>
      </c>
      <c r="D72" s="16" t="str">
        <f>k!$B$11</f>
        <v>MANDO INTERMEDIO</v>
      </c>
      <c r="E72" s="17" t="s">
        <v>33</v>
      </c>
      <c r="F72" s="16">
        <f t="shared" ref="F72:F73" si="18">F71</f>
        <v>592.9</v>
      </c>
      <c r="G72" s="16">
        <f>k!$D$11</f>
        <v>0.1</v>
      </c>
      <c r="H72" s="16">
        <f t="shared" si="17"/>
        <v>59.29</v>
      </c>
    </row>
    <row r="73" spans="1:8">
      <c r="C73" s="15" t="str">
        <f>k!$A$12</f>
        <v>HE003</v>
      </c>
      <c r="D73" s="16" t="str">
        <f>k!$B$12</f>
        <v>EQUIPO DE SEGURIDAD</v>
      </c>
      <c r="E73" s="17" t="s">
        <v>33</v>
      </c>
      <c r="F73" s="16">
        <f t="shared" si="18"/>
        <v>592.9</v>
      </c>
      <c r="G73" s="16">
        <f>k!$D$12</f>
        <v>0.01</v>
      </c>
      <c r="H73" s="16">
        <f t="shared" si="17"/>
        <v>5.93</v>
      </c>
    </row>
    <row r="74" spans="1:8">
      <c r="D74" s="4"/>
      <c r="E74" s="12"/>
      <c r="F74" s="4"/>
      <c r="H74" s="4"/>
    </row>
    <row r="75" spans="1:8">
      <c r="C75" s="1" t="s">
        <v>64</v>
      </c>
      <c r="D75" s="4" t="str" cm="1">
        <f t="array" ref="D75:F75">IFERROR(VLOOKUP(C75,MA!$A$6:$D$26,{2,3,4},0),IFERROR(VLOOKUP(C75,MO!$A$6:$D$26,{2,3,4},0),IFERROR(VLOOKUP(C75,MQ!$A$6:$D$26,{2,3,4},0),IFERROR(VLOOKUP(C75,BA!$A$6:$H$180,{2,5,8},0),{"No encontrado","X","X"}))))</f>
        <v>REVOLVEDORA 1 SACO</v>
      </c>
      <c r="E75" s="12" t="str">
        <v>Hr</v>
      </c>
      <c r="F75" s="4">
        <v>250</v>
      </c>
      <c r="G75" s="1">
        <v>1</v>
      </c>
      <c r="H75" s="4">
        <f t="shared" ref="H75" si="19">G75*F75</f>
        <v>250</v>
      </c>
    </row>
    <row r="77" spans="1:8">
      <c r="A77" s="10" t="s">
        <v>556</v>
      </c>
      <c r="B77" s="10" t="s">
        <v>557</v>
      </c>
      <c r="C77" s="10"/>
      <c r="D77" s="10"/>
      <c r="E77" s="13" t="s">
        <v>52</v>
      </c>
      <c r="F77" s="10"/>
      <c r="G77" s="10"/>
      <c r="H77" s="14">
        <f>SUM(H78:H87)</f>
        <v>6929.91</v>
      </c>
    </row>
    <row r="78" spans="1:8">
      <c r="C78" s="1" t="s">
        <v>531</v>
      </c>
      <c r="D78" s="4" t="str" cm="1">
        <f t="array" ref="D78:F78">IFERROR(VLOOKUP(C78,MA!$A$6:$D$26,{2,3,4},0),IFERROR(VLOOKUP(C78,MO!$A$6:$D$26,{2,3,4},0),IFERROR(VLOOKUP(C78,MQ!$A$6:$D$26,{2,3,4},0),IFERROR(VLOOKUP(C78,BA!$A$6:$H$180,{2,5,8},0),{"No encontrado","X","X"}))))</f>
        <v>CEMENTO GRIS EN SACO</v>
      </c>
      <c r="E78" s="12" t="str">
        <v>Ton</v>
      </c>
      <c r="F78" s="4">
        <v>4600</v>
      </c>
      <c r="G78" s="49">
        <v>1.3</v>
      </c>
      <c r="H78" s="4">
        <f t="shared" ref="H78:H79" si="20">G78*F78</f>
        <v>5980</v>
      </c>
    </row>
    <row r="79" spans="1:8">
      <c r="C79" s="1" t="s">
        <v>63</v>
      </c>
      <c r="D79" s="4" t="str" cm="1">
        <f t="array" ref="D79:F79">IFERROR(VLOOKUP(C79,MA!$A$6:$D$26,{2,3,4},0),IFERROR(VLOOKUP(C79,MO!$A$6:$D$26,{2,3,4},0),IFERROR(VLOOKUP(C79,MQ!$A$6:$D$26,{2,3,4},0),IFERROR(VLOOKUP(C79,BA!$A$6:$H$180,{2,5,8},0),{"No encontrado","X","X"}))))</f>
        <v>AGUA EN PIPA</v>
      </c>
      <c r="E79" s="12" t="str">
        <v>m3</v>
      </c>
      <c r="F79" s="4">
        <v>20</v>
      </c>
      <c r="G79" s="49">
        <v>1.2</v>
      </c>
      <c r="H79" s="4">
        <f t="shared" si="20"/>
        <v>24</v>
      </c>
    </row>
    <row r="80" spans="1:8">
      <c r="D80" s="4"/>
      <c r="E80" s="12"/>
      <c r="F80" s="4"/>
      <c r="H80" s="4"/>
    </row>
    <row r="81" spans="3:8">
      <c r="C81" s="1" t="s">
        <v>519</v>
      </c>
      <c r="D81" s="4" t="str" cm="1">
        <f t="array" ref="D81:F81">IFERROR(VLOOKUP(C81,MA!$A$6:$D$26,{2,3,4},0),IFERROR(VLOOKUP(C81,MO!$A$6:$D$26,{2,3,4},0),IFERROR(VLOOKUP(C81,MQ!$A$6:$D$26,{2,3,4},0),IFERROR(VLOOKUP(C81,BA!$A$6:$H$180,{2,5,8},0),{"No encontrado","X","X"}))))</f>
        <v>PEON</v>
      </c>
      <c r="E81" s="12" t="str">
        <v>JOR</v>
      </c>
      <c r="F81" s="4">
        <v>592.9</v>
      </c>
      <c r="G81" s="1">
        <v>1</v>
      </c>
      <c r="H81" s="4">
        <f t="shared" ref="H81" si="21">G81*F81</f>
        <v>592.9</v>
      </c>
    </row>
    <row r="82" spans="3:8">
      <c r="D82" s="4"/>
      <c r="E82" s="12"/>
      <c r="F82" s="4"/>
      <c r="H82" s="4"/>
    </row>
    <row r="83" spans="3:8">
      <c r="C83" s="15" t="str">
        <f>k!$A$10</f>
        <v>HE001</v>
      </c>
      <c r="D83" s="16" t="str">
        <f>k!$B$10</f>
        <v>HERRAMIENTA MENOR</v>
      </c>
      <c r="E83" s="17" t="s">
        <v>33</v>
      </c>
      <c r="F83" s="18">
        <f>SUM(H80:H81)</f>
        <v>592.9</v>
      </c>
      <c r="G83" s="16">
        <f>k!$D$10</f>
        <v>0.03</v>
      </c>
      <c r="H83" s="16">
        <f t="shared" ref="H83:H85" si="22">G83*F83</f>
        <v>17.79</v>
      </c>
    </row>
    <row r="84" spans="3:8">
      <c r="C84" s="15" t="str">
        <f>k!$A$11</f>
        <v>HE002</v>
      </c>
      <c r="D84" s="16" t="str">
        <f>k!$B$11</f>
        <v>MANDO INTERMEDIO</v>
      </c>
      <c r="E84" s="17" t="s">
        <v>33</v>
      </c>
      <c r="F84" s="16">
        <f t="shared" ref="F84:F85" si="23">F83</f>
        <v>592.9</v>
      </c>
      <c r="G84" s="16">
        <f>k!$D$11</f>
        <v>0.1</v>
      </c>
      <c r="H84" s="16">
        <f t="shared" si="22"/>
        <v>59.29</v>
      </c>
    </row>
    <row r="85" spans="3:8">
      <c r="C85" s="15" t="str">
        <f>k!$A$12</f>
        <v>HE003</v>
      </c>
      <c r="D85" s="16" t="str">
        <f>k!$B$12</f>
        <v>EQUIPO DE SEGURIDAD</v>
      </c>
      <c r="E85" s="17" t="s">
        <v>33</v>
      </c>
      <c r="F85" s="16">
        <f t="shared" si="23"/>
        <v>592.9</v>
      </c>
      <c r="G85" s="16">
        <f>k!$D$12</f>
        <v>0.01</v>
      </c>
      <c r="H85" s="16">
        <f t="shared" si="22"/>
        <v>5.93</v>
      </c>
    </row>
    <row r="86" spans="3:8">
      <c r="D86" s="4"/>
      <c r="E86" s="12"/>
      <c r="F86" s="4"/>
      <c r="H86" s="4"/>
    </row>
    <row r="87" spans="3:8">
      <c r="C87" s="1" t="s">
        <v>64</v>
      </c>
      <c r="D87" s="4" t="str" cm="1">
        <f t="array" ref="D87:F87">IFERROR(VLOOKUP(C87,MA!$A$6:$D$26,{2,3,4},0),IFERROR(VLOOKUP(C87,MO!$A$6:$D$26,{2,3,4},0),IFERROR(VLOOKUP(C87,MQ!$A$6:$D$26,{2,3,4},0),IFERROR(VLOOKUP(C87,BA!$A$6:$H$180,{2,5,8},0),{"No encontrado","X","X"}))))</f>
        <v>REVOLVEDORA 1 SACO</v>
      </c>
      <c r="E87" s="12" t="str">
        <v>Hr</v>
      </c>
      <c r="F87" s="4">
        <v>250</v>
      </c>
      <c r="G87" s="1">
        <v>1</v>
      </c>
      <c r="H87" s="4">
        <f t="shared" ref="H87" si="24">G87*F87</f>
        <v>250</v>
      </c>
    </row>
    <row r="180" spans="1:1">
      <c r="A180" s="3" t="s">
        <v>20</v>
      </c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D6" sqref="D6"/>
    </sheetView>
  </sheetViews>
  <sheetFormatPr baseColWidth="10" defaultRowHeight="14.25"/>
  <sheetData>
    <row r="1" spans="1:9">
      <c r="A1" t="s">
        <v>41</v>
      </c>
    </row>
    <row r="2" spans="1:9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</row>
    <row r="3" spans="1:9">
      <c r="A3" s="27" t="s">
        <v>38</v>
      </c>
      <c r="B3" s="27" t="s">
        <v>40</v>
      </c>
      <c r="C3" s="27"/>
      <c r="D3" s="28">
        <v>0.15</v>
      </c>
      <c r="G3" s="33"/>
      <c r="H3" s="34">
        <f t="shared" ref="H3:H4" si="0">1/3</f>
        <v>0.33</v>
      </c>
      <c r="I3" s="33"/>
    </row>
    <row r="4" spans="1:9">
      <c r="A4" s="27" t="s">
        <v>39</v>
      </c>
      <c r="B4" s="27" t="s">
        <v>42</v>
      </c>
      <c r="C4" s="27"/>
      <c r="D4" s="28">
        <v>0.2</v>
      </c>
      <c r="G4" s="33"/>
      <c r="H4" s="35">
        <f t="shared" si="0"/>
        <v>0.33</v>
      </c>
      <c r="I4" s="33"/>
    </row>
    <row r="5" spans="1:9">
      <c r="A5" s="27" t="s">
        <v>43</v>
      </c>
      <c r="B5" s="27" t="s">
        <v>44</v>
      </c>
      <c r="C5" s="27"/>
      <c r="D5" s="28">
        <v>5.5999999999999999E-3</v>
      </c>
      <c r="G5" s="33"/>
      <c r="H5" s="33">
        <f>SUM(H2:H4)</f>
        <v>0.99</v>
      </c>
      <c r="I5" s="33" t="s">
        <v>84</v>
      </c>
    </row>
    <row r="6" spans="1:9">
      <c r="A6" s="27" t="s">
        <v>45</v>
      </c>
      <c r="B6" s="27" t="s">
        <v>46</v>
      </c>
      <c r="C6" s="27"/>
      <c r="D6" s="28">
        <v>0.1</v>
      </c>
      <c r="G6" s="33"/>
      <c r="H6" s="33"/>
      <c r="I6" s="33" t="s">
        <v>85</v>
      </c>
    </row>
    <row r="7" spans="1:9">
      <c r="A7" s="27" t="s">
        <v>47</v>
      </c>
      <c r="B7" s="27" t="s">
        <v>48</v>
      </c>
      <c r="C7" s="27"/>
      <c r="D7" s="28">
        <v>0</v>
      </c>
    </row>
    <row r="8" spans="1:9">
      <c r="A8" s="27" t="s">
        <v>16</v>
      </c>
      <c r="B8" s="27" t="s">
        <v>49</v>
      </c>
      <c r="C8" s="27"/>
      <c r="D8" s="28"/>
    </row>
    <row r="10" spans="1:9">
      <c r="A10" s="29" t="s">
        <v>23</v>
      </c>
      <c r="B10" s="29" t="s">
        <v>24</v>
      </c>
      <c r="C10" s="29"/>
      <c r="D10" s="30">
        <v>0.03</v>
      </c>
    </row>
    <row r="11" spans="1:9">
      <c r="A11" s="29" t="s">
        <v>25</v>
      </c>
      <c r="B11" s="29" t="s">
        <v>28</v>
      </c>
      <c r="C11" s="29"/>
      <c r="D11" s="30">
        <v>0.1</v>
      </c>
    </row>
    <row r="12" spans="1:9">
      <c r="A12" s="29" t="s">
        <v>26</v>
      </c>
      <c r="B12" s="29" t="s">
        <v>29</v>
      </c>
      <c r="C12" s="29"/>
      <c r="D12" s="30">
        <v>0.01</v>
      </c>
    </row>
    <row r="13" spans="1:9">
      <c r="A13" s="29" t="s">
        <v>27</v>
      </c>
      <c r="B13" s="29" t="s">
        <v>30</v>
      </c>
      <c r="C13" s="29"/>
      <c r="D13" s="30">
        <v>0</v>
      </c>
    </row>
    <row r="14" spans="1:9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ADMIN</cp:lastModifiedBy>
  <cp:lastPrinted>2024-08-13T20:07:58Z</cp:lastPrinted>
  <dcterms:created xsi:type="dcterms:W3CDTF">2024-08-08T20:21:30Z</dcterms:created>
  <dcterms:modified xsi:type="dcterms:W3CDTF">2024-10-12T02:19:12Z</dcterms:modified>
</cp:coreProperties>
</file>