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onserrat\Downloads\"/>
    </mc:Choice>
  </mc:AlternateContent>
  <bookViews>
    <workbookView xWindow="0" yWindow="0" windowWidth="20490" windowHeight="7755" activeTab="2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52511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71" i="7" l="1"/>
  <c r="G193" i="1" l="1"/>
  <c r="G192" i="1"/>
  <c r="G75" i="7" l="1"/>
  <c r="D75" i="7"/>
  <c r="C75" i="7"/>
  <c r="G74" i="7"/>
  <c r="D74" i="7"/>
  <c r="C74" i="7"/>
  <c r="G73" i="7"/>
  <c r="D73" i="7"/>
  <c r="C73" i="7"/>
  <c r="D71" i="7" a="1"/>
  <c r="E71" i="7" s="1"/>
  <c r="D68" i="7" a="1"/>
  <c r="E68" i="7" s="1"/>
  <c r="D67" i="7" a="1"/>
  <c r="D67" i="7" s="1"/>
  <c r="F68" i="7" l="1"/>
  <c r="H68" i="7" s="1"/>
  <c r="F71" i="7"/>
  <c r="H71" i="7" s="1"/>
  <c r="F73" i="7" s="1"/>
  <c r="F67" i="7"/>
  <c r="H67" i="7" s="1"/>
  <c r="D68" i="7"/>
  <c r="E67" i="7"/>
  <c r="D71" i="7"/>
  <c r="F74" i="7" l="1"/>
  <c r="H73" i="7"/>
  <c r="F75" i="7" l="1"/>
  <c r="H75" i="7" s="1"/>
  <c r="H74" i="7"/>
  <c r="H66" i="7" l="1"/>
  <c r="D207" i="1" l="1"/>
  <c r="C207" i="1"/>
  <c r="G206" i="1"/>
  <c r="D206" i="1"/>
  <c r="C206" i="1"/>
  <c r="G205" i="1"/>
  <c r="D205" i="1"/>
  <c r="C205" i="1"/>
  <c r="G204" i="1"/>
  <c r="D204" i="1"/>
  <c r="C204" i="1"/>
  <c r="G203" i="1"/>
  <c r="D203" i="1"/>
  <c r="C203" i="1"/>
  <c r="G202" i="1"/>
  <c r="D202" i="1"/>
  <c r="C202" i="1"/>
  <c r="D201" i="1"/>
  <c r="C201" i="1"/>
  <c r="G199" i="1"/>
  <c r="D199" i="1"/>
  <c r="C199" i="1"/>
  <c r="G198" i="1"/>
  <c r="D198" i="1"/>
  <c r="C198" i="1"/>
  <c r="G197" i="1"/>
  <c r="D197" i="1"/>
  <c r="C197" i="1"/>
  <c r="G196" i="1"/>
  <c r="D196" i="1"/>
  <c r="C196" i="1"/>
  <c r="G195" i="1"/>
  <c r="D195" i="1"/>
  <c r="C195" i="1"/>
  <c r="D193" i="1" a="1"/>
  <c r="E193" i="1" s="1"/>
  <c r="D192" i="1" a="1"/>
  <c r="D192" i="1" s="1"/>
  <c r="D190" i="1" a="1"/>
  <c r="F190" i="1" s="1"/>
  <c r="D186" i="1"/>
  <c r="C186" i="1"/>
  <c r="G185" i="1"/>
  <c r="D185" i="1"/>
  <c r="C185" i="1"/>
  <c r="G184" i="1"/>
  <c r="D184" i="1"/>
  <c r="C184" i="1"/>
  <c r="G183" i="1"/>
  <c r="D183" i="1"/>
  <c r="C183" i="1"/>
  <c r="G182" i="1"/>
  <c r="D182" i="1"/>
  <c r="C182" i="1"/>
  <c r="G181" i="1"/>
  <c r="D181" i="1"/>
  <c r="C181" i="1"/>
  <c r="D180" i="1"/>
  <c r="C180" i="1"/>
  <c r="G178" i="1"/>
  <c r="D178" i="1"/>
  <c r="C178" i="1"/>
  <c r="G177" i="1"/>
  <c r="D177" i="1"/>
  <c r="C177" i="1"/>
  <c r="G176" i="1"/>
  <c r="D176" i="1"/>
  <c r="C176" i="1"/>
  <c r="G175" i="1"/>
  <c r="D175" i="1"/>
  <c r="C175" i="1"/>
  <c r="G174" i="1"/>
  <c r="D174" i="1"/>
  <c r="C174" i="1"/>
  <c r="G172" i="1"/>
  <c r="D172" i="1" a="1"/>
  <c r="F172" i="1" s="1"/>
  <c r="G171" i="1"/>
  <c r="D171" i="1" a="1"/>
  <c r="D171" i="1" s="1"/>
  <c r="G169" i="1"/>
  <c r="G168" i="1"/>
  <c r="D168" i="1" a="1"/>
  <c r="F168" i="1" s="1"/>
  <c r="H172" i="1" l="1"/>
  <c r="H190" i="1"/>
  <c r="E192" i="1"/>
  <c r="F192" i="1"/>
  <c r="H192" i="1" s="1"/>
  <c r="F193" i="1"/>
  <c r="H193" i="1" s="1"/>
  <c r="D190" i="1"/>
  <c r="E190" i="1"/>
  <c r="D193" i="1"/>
  <c r="H168" i="1"/>
  <c r="E171" i="1"/>
  <c r="F171" i="1"/>
  <c r="H171" i="1" s="1"/>
  <c r="D168" i="1"/>
  <c r="E168" i="1"/>
  <c r="D172" i="1"/>
  <c r="E172" i="1"/>
  <c r="G149" i="1"/>
  <c r="G148" i="1"/>
  <c r="G146" i="1"/>
  <c r="D148" i="1" a="1"/>
  <c r="E148" i="1" s="1"/>
  <c r="G145" i="1"/>
  <c r="D20" i="2"/>
  <c r="D163" i="1"/>
  <c r="C163" i="1"/>
  <c r="G162" i="1"/>
  <c r="D162" i="1"/>
  <c r="C162" i="1"/>
  <c r="G161" i="1"/>
  <c r="D161" i="1"/>
  <c r="C161" i="1"/>
  <c r="G160" i="1"/>
  <c r="D160" i="1"/>
  <c r="C160" i="1"/>
  <c r="G159" i="1"/>
  <c r="D159" i="1"/>
  <c r="C159" i="1"/>
  <c r="G158" i="1"/>
  <c r="D158" i="1"/>
  <c r="C158" i="1"/>
  <c r="D157" i="1"/>
  <c r="C157" i="1"/>
  <c r="G155" i="1"/>
  <c r="D155" i="1"/>
  <c r="C155" i="1"/>
  <c r="G154" i="1"/>
  <c r="D154" i="1"/>
  <c r="C154" i="1"/>
  <c r="G153" i="1"/>
  <c r="D153" i="1"/>
  <c r="C153" i="1"/>
  <c r="G152" i="1"/>
  <c r="D152" i="1"/>
  <c r="C152" i="1"/>
  <c r="G151" i="1"/>
  <c r="D151" i="1"/>
  <c r="C151" i="1"/>
  <c r="D149" i="1" a="1"/>
  <c r="F149" i="1" s="1"/>
  <c r="H149" i="1" s="1"/>
  <c r="D145" i="1" a="1"/>
  <c r="F145" i="1" s="1"/>
  <c r="G126" i="1"/>
  <c r="G124" i="1"/>
  <c r="G123" i="1"/>
  <c r="D19" i="2"/>
  <c r="D140" i="1"/>
  <c r="C140" i="1"/>
  <c r="G139" i="1"/>
  <c r="D139" i="1"/>
  <c r="C139" i="1"/>
  <c r="G138" i="1"/>
  <c r="D138" i="1"/>
  <c r="C138" i="1"/>
  <c r="G137" i="1"/>
  <c r="D137" i="1"/>
  <c r="C137" i="1"/>
  <c r="G136" i="1"/>
  <c r="D136" i="1"/>
  <c r="C136" i="1"/>
  <c r="G135" i="1"/>
  <c r="D135" i="1"/>
  <c r="C135" i="1"/>
  <c r="D134" i="1"/>
  <c r="C134" i="1"/>
  <c r="G132" i="1"/>
  <c r="D132" i="1"/>
  <c r="C132" i="1"/>
  <c r="G131" i="1"/>
  <c r="D131" i="1"/>
  <c r="C131" i="1"/>
  <c r="G130" i="1"/>
  <c r="D130" i="1"/>
  <c r="C130" i="1"/>
  <c r="G129" i="1"/>
  <c r="D129" i="1"/>
  <c r="C129" i="1"/>
  <c r="G128" i="1"/>
  <c r="D128" i="1"/>
  <c r="C128" i="1"/>
  <c r="D126" i="1" a="1"/>
  <c r="F126" i="1" s="1"/>
  <c r="D124" i="1" a="1"/>
  <c r="F124" i="1" s="1"/>
  <c r="H124" i="1" s="1"/>
  <c r="D123" i="1" a="1"/>
  <c r="E123" i="1" s="1"/>
  <c r="G100" i="1"/>
  <c r="G99" i="1"/>
  <c r="G101" i="1" s="1"/>
  <c r="G98" i="1"/>
  <c r="G97" i="1"/>
  <c r="G60" i="7"/>
  <c r="G59" i="7"/>
  <c r="D60" i="7" a="1"/>
  <c r="D60" i="7" s="1"/>
  <c r="G54" i="7"/>
  <c r="D57" i="7" a="1"/>
  <c r="D57" i="7" s="1"/>
  <c r="D17" i="2"/>
  <c r="D56" i="7" a="1"/>
  <c r="D56" i="7" s="1"/>
  <c r="D49" i="7" a="1"/>
  <c r="F49" i="7" s="1"/>
  <c r="H49" i="7" s="1"/>
  <c r="G47" i="7"/>
  <c r="D47" i="7"/>
  <c r="C47" i="7"/>
  <c r="G46" i="7"/>
  <c r="D46" i="7"/>
  <c r="C46" i="7"/>
  <c r="G45" i="7"/>
  <c r="D45" i="7"/>
  <c r="C45" i="7"/>
  <c r="D43" i="7" a="1"/>
  <c r="F43" i="7" s="1"/>
  <c r="H43" i="7" s="1"/>
  <c r="F45" i="7" s="1"/>
  <c r="D41" i="7" a="1"/>
  <c r="F41" i="7" s="1"/>
  <c r="H41" i="7" s="1"/>
  <c r="D40" i="7" a="1"/>
  <c r="D40" i="7" s="1"/>
  <c r="D39" i="7" a="1"/>
  <c r="F39" i="7" s="1"/>
  <c r="H39" i="7" s="1"/>
  <c r="D38" i="7" a="1"/>
  <c r="F38" i="7" s="1"/>
  <c r="H38" i="7" s="1"/>
  <c r="G17" i="7"/>
  <c r="G11" i="7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64" i="7"/>
  <c r="C64" i="7"/>
  <c r="D63" i="7"/>
  <c r="C63" i="7"/>
  <c r="D62" i="7"/>
  <c r="C62" i="7"/>
  <c r="D31" i="7"/>
  <c r="C31" i="7"/>
  <c r="D30" i="7"/>
  <c r="C30" i="7"/>
  <c r="D29" i="7"/>
  <c r="C29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64" i="7"/>
  <c r="G63" i="7"/>
  <c r="G62" i="7"/>
  <c r="G31" i="7"/>
  <c r="G30" i="7"/>
  <c r="G29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9" i="7" a="1"/>
  <c r="D59" i="7" s="1"/>
  <c r="D55" i="7" a="1"/>
  <c r="D55" i="7" s="1"/>
  <c r="D54" i="7" a="1"/>
  <c r="D54" i="7" s="1"/>
  <c r="D27" i="1"/>
  <c r="C27" i="1"/>
  <c r="G26" i="1"/>
  <c r="G25" i="1"/>
  <c r="G24" i="1"/>
  <c r="G23" i="1"/>
  <c r="G22" i="1"/>
  <c r="F195" i="1" l="1"/>
  <c r="F174" i="1"/>
  <c r="H174" i="1" s="1"/>
  <c r="D148" i="1"/>
  <c r="F148" i="1"/>
  <c r="H148" i="1" s="1"/>
  <c r="F151" i="1" s="1"/>
  <c r="F152" i="1" s="1"/>
  <c r="H145" i="1"/>
  <c r="D149" i="1"/>
  <c r="D145" i="1"/>
  <c r="E145" i="1"/>
  <c r="E149" i="1"/>
  <c r="H126" i="1"/>
  <c r="F128" i="1" s="1"/>
  <c r="F129" i="1" s="1"/>
  <c r="F130" i="1" s="1"/>
  <c r="F131" i="1" s="1"/>
  <c r="D126" i="1"/>
  <c r="D124" i="1"/>
  <c r="F123" i="1"/>
  <c r="H123" i="1" s="1"/>
  <c r="E124" i="1"/>
  <c r="E126" i="1"/>
  <c r="D123" i="1"/>
  <c r="F60" i="7"/>
  <c r="H60" i="7" s="1"/>
  <c r="E60" i="7"/>
  <c r="F57" i="7"/>
  <c r="H57" i="7" s="1"/>
  <c r="E57" i="7"/>
  <c r="F56" i="7"/>
  <c r="H56" i="7" s="1"/>
  <c r="E56" i="7"/>
  <c r="D43" i="7"/>
  <c r="D41" i="7"/>
  <c r="E40" i="7"/>
  <c r="E41" i="7"/>
  <c r="D38" i="7"/>
  <c r="F40" i="7"/>
  <c r="H40" i="7" s="1"/>
  <c r="D49" i="7"/>
  <c r="F46" i="7"/>
  <c r="F47" i="7" s="1"/>
  <c r="H47" i="7" s="1"/>
  <c r="H45" i="7"/>
  <c r="E38" i="7"/>
  <c r="D39" i="7"/>
  <c r="E43" i="7"/>
  <c r="E49" i="7"/>
  <c r="E39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F175" i="1" l="1"/>
  <c r="F176" i="1" s="1"/>
  <c r="H195" i="1"/>
  <c r="F196" i="1"/>
  <c r="F153" i="1"/>
  <c r="H152" i="1"/>
  <c r="H151" i="1"/>
  <c r="H129" i="1"/>
  <c r="F132" i="1"/>
  <c r="H132" i="1" s="1"/>
  <c r="H131" i="1"/>
  <c r="H128" i="1"/>
  <c r="H130" i="1"/>
  <c r="H46" i="7"/>
  <c r="H37" i="7" s="1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175" i="1" l="1"/>
  <c r="F197" i="1"/>
  <c r="H196" i="1"/>
  <c r="F177" i="1"/>
  <c r="H176" i="1"/>
  <c r="F154" i="1"/>
  <c r="H153" i="1"/>
  <c r="F135" i="1"/>
  <c r="F136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F59" i="7"/>
  <c r="H59" i="7" s="1"/>
  <c r="F62" i="7" s="1"/>
  <c r="E59" i="7"/>
  <c r="F55" i="7"/>
  <c r="H55" i="7" s="1"/>
  <c r="E55" i="7"/>
  <c r="F54" i="7"/>
  <c r="H54" i="7" s="1"/>
  <c r="E54" i="7"/>
  <c r="F33" i="7"/>
  <c r="H33" i="7" s="1"/>
  <c r="E33" i="7"/>
  <c r="F27" i="7"/>
  <c r="H27" i="7" s="1"/>
  <c r="F29" i="7" s="1"/>
  <c r="E27" i="7"/>
  <c r="F25" i="7"/>
  <c r="H25" i="7" s="1"/>
  <c r="E25" i="7"/>
  <c r="F24" i="7"/>
  <c r="H24" i="7" s="1"/>
  <c r="E24" i="7"/>
  <c r="F23" i="7"/>
  <c r="H23" i="7" s="1"/>
  <c r="E23" i="7"/>
  <c r="F22" i="7"/>
  <c r="H22" i="7" s="1"/>
  <c r="E22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04" i="1"/>
  <c r="H104" i="1" s="1"/>
  <c r="E104" i="1"/>
  <c r="F103" i="1"/>
  <c r="H103" i="1" s="1"/>
  <c r="E103" i="1"/>
  <c r="F101" i="1"/>
  <c r="H101" i="1" s="1"/>
  <c r="E101" i="1"/>
  <c r="F100" i="1"/>
  <c r="H100" i="1" s="1"/>
  <c r="E100" i="1"/>
  <c r="F99" i="1"/>
  <c r="H99" i="1" s="1"/>
  <c r="E99" i="1"/>
  <c r="F78" i="1"/>
  <c r="H78" i="1" s="1"/>
  <c r="E78" i="1"/>
  <c r="F77" i="1"/>
  <c r="H77" i="1" s="1"/>
  <c r="E77" i="1"/>
  <c r="F74" i="1"/>
  <c r="H74" i="1" s="1"/>
  <c r="E74" i="1"/>
  <c r="F56" i="1"/>
  <c r="H56" i="1" s="1"/>
  <c r="E56" i="1"/>
  <c r="F37" i="1"/>
  <c r="H37" i="1" s="1"/>
  <c r="E37" i="1"/>
  <c r="F13" i="1"/>
  <c r="H13" i="1" s="1"/>
  <c r="E13" i="1"/>
  <c r="F12" i="1"/>
  <c r="H12" i="1" s="1"/>
  <c r="E12" i="1"/>
  <c r="F10" i="1"/>
  <c r="H10" i="1" s="1"/>
  <c r="E10" i="1"/>
  <c r="F9" i="1"/>
  <c r="H9" i="1" s="1"/>
  <c r="E9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198" i="1" l="1"/>
  <c r="H197" i="1"/>
  <c r="F178" i="1"/>
  <c r="H178" i="1" s="1"/>
  <c r="H177" i="1"/>
  <c r="F155" i="1"/>
  <c r="H155" i="1" s="1"/>
  <c r="H154" i="1"/>
  <c r="H135" i="1"/>
  <c r="F80" i="1"/>
  <c r="F81" i="1" s="1"/>
  <c r="H136" i="1"/>
  <c r="F15" i="1"/>
  <c r="F16" i="1" s="1"/>
  <c r="F39" i="1"/>
  <c r="H13" i="7"/>
  <c r="F14" i="7"/>
  <c r="F58" i="1"/>
  <c r="F106" i="1"/>
  <c r="F30" i="7"/>
  <c r="H29" i="7"/>
  <c r="F63" i="7"/>
  <c r="H62" i="7"/>
  <c r="F199" i="1" l="1"/>
  <c r="H199" i="1" s="1"/>
  <c r="H198" i="1"/>
  <c r="F137" i="1"/>
  <c r="H80" i="1"/>
  <c r="H15" i="1"/>
  <c r="F64" i="7"/>
  <c r="H63" i="7"/>
  <c r="F40" i="1"/>
  <c r="H39" i="1"/>
  <c r="F59" i="1"/>
  <c r="H58" i="1"/>
  <c r="H106" i="1"/>
  <c r="F107" i="1"/>
  <c r="H30" i="7"/>
  <c r="F31" i="7"/>
  <c r="F15" i="7"/>
  <c r="H14" i="7"/>
  <c r="F82" i="1"/>
  <c r="H81" i="1"/>
  <c r="F17" i="1"/>
  <c r="H16" i="1"/>
  <c r="F202" i="1" l="1"/>
  <c r="H137" i="1"/>
  <c r="F138" i="1" s="1"/>
  <c r="H15" i="7"/>
  <c r="H17" i="1"/>
  <c r="F18" i="1"/>
  <c r="H59" i="1"/>
  <c r="F60" i="1"/>
  <c r="H107" i="1"/>
  <c r="F108" i="1"/>
  <c r="F41" i="1"/>
  <c r="H40" i="1"/>
  <c r="F83" i="1"/>
  <c r="H82" i="1"/>
  <c r="H31" i="7"/>
  <c r="H64" i="7"/>
  <c r="H53" i="7" s="1"/>
  <c r="H138" i="1" l="1"/>
  <c r="F139" i="1" s="1"/>
  <c r="H139" i="1" s="1"/>
  <c r="H140" i="1" s="1"/>
  <c r="H121" i="1" s="1"/>
  <c r="H83" i="1"/>
  <c r="F84" i="1"/>
  <c r="H84" i="1" s="1"/>
  <c r="F19" i="1"/>
  <c r="H19" i="1" s="1"/>
  <c r="H18" i="1"/>
  <c r="F42" i="1"/>
  <c r="H41" i="1"/>
  <c r="H108" i="1"/>
  <c r="F109" i="1"/>
  <c r="F61" i="1"/>
  <c r="H60" i="1"/>
  <c r="H6" i="7"/>
  <c r="D169" i="1" l="1" a="1"/>
  <c r="D75" i="1" a="1"/>
  <c r="E75" i="1" s="1"/>
  <c r="D146" i="1" a="1"/>
  <c r="D98" i="1" a="1"/>
  <c r="D98" i="1" s="1"/>
  <c r="H21" i="7"/>
  <c r="D97" i="1" s="1" a="1"/>
  <c r="F22" i="1"/>
  <c r="F23" i="1" s="1"/>
  <c r="H23" i="1" s="1"/>
  <c r="H109" i="1"/>
  <c r="F110" i="1"/>
  <c r="H110" i="1" s="1"/>
  <c r="F62" i="1"/>
  <c r="H62" i="1" s="1"/>
  <c r="H61" i="1"/>
  <c r="F43" i="1"/>
  <c r="H43" i="1" s="1"/>
  <c r="H42" i="1"/>
  <c r="F169" i="1" l="1"/>
  <c r="H169" i="1" s="1"/>
  <c r="F181" i="1" s="1"/>
  <c r="E169" i="1"/>
  <c r="D169" i="1"/>
  <c r="D75" i="1"/>
  <c r="F75" i="1"/>
  <c r="H75" i="1" s="1"/>
  <c r="F87" i="1" s="1"/>
  <c r="H87" i="1" s="1"/>
  <c r="E146" i="1"/>
  <c r="D146" i="1"/>
  <c r="F146" i="1"/>
  <c r="H146" i="1" s="1"/>
  <c r="F158" i="1" s="1"/>
  <c r="F98" i="1"/>
  <c r="H98" i="1" s="1"/>
  <c r="E98" i="1"/>
  <c r="D97" i="1"/>
  <c r="F97" i="1"/>
  <c r="H97" i="1" s="1"/>
  <c r="E97" i="1"/>
  <c r="H22" i="1"/>
  <c r="F24" i="1" s="1"/>
  <c r="H24" i="1" s="1"/>
  <c r="F25" i="1" s="1"/>
  <c r="F46" i="1"/>
  <c r="F47" i="1" s="1"/>
  <c r="H47" i="1" s="1"/>
  <c r="F65" i="1"/>
  <c r="F182" i="1" l="1"/>
  <c r="H181" i="1"/>
  <c r="F203" i="1"/>
  <c r="H202" i="1"/>
  <c r="F88" i="1"/>
  <c r="H88" i="1" s="1"/>
  <c r="F159" i="1"/>
  <c r="H158" i="1"/>
  <c r="F113" i="1"/>
  <c r="F114" i="1" s="1"/>
  <c r="H46" i="1"/>
  <c r="F48" i="1" s="1"/>
  <c r="H48" i="1" s="1"/>
  <c r="F49" i="1" s="1"/>
  <c r="H65" i="1"/>
  <c r="F66" i="1"/>
  <c r="H66" i="1" s="1"/>
  <c r="H25" i="1"/>
  <c r="F26" i="1" s="1"/>
  <c r="H26" i="1" s="1"/>
  <c r="H27" i="1" s="1"/>
  <c r="H6" i="1" s="1"/>
  <c r="H203" i="1" l="1"/>
  <c r="F204" i="1" s="1"/>
  <c r="H182" i="1"/>
  <c r="F183" i="1" s="1"/>
  <c r="H183" i="1" s="1"/>
  <c r="F184" i="1" s="1"/>
  <c r="F89" i="1"/>
  <c r="H89" i="1" s="1"/>
  <c r="F90" i="1" s="1"/>
  <c r="H90" i="1" s="1"/>
  <c r="F91" i="1" s="1"/>
  <c r="H91" i="1" s="1"/>
  <c r="H92" i="1" s="1"/>
  <c r="H73" i="1" s="1"/>
  <c r="H159" i="1"/>
  <c r="F160" i="1" s="1"/>
  <c r="H160" i="1" s="1"/>
  <c r="F161" i="1" s="1"/>
  <c r="H161" i="1" s="1"/>
  <c r="F162" i="1" s="1"/>
  <c r="H162" i="1" s="1"/>
  <c r="H163" i="1" s="1"/>
  <c r="H143" i="1" s="1"/>
  <c r="H113" i="1"/>
  <c r="H114" i="1"/>
  <c r="F67" i="1"/>
  <c r="H67" i="1" s="1"/>
  <c r="F68" i="1" s="1"/>
  <c r="H68" i="1" s="1"/>
  <c r="F69" i="1" s="1"/>
  <c r="H69" i="1" s="1"/>
  <c r="H70" i="1" s="1"/>
  <c r="H54" i="1" s="1"/>
  <c r="H49" i="1"/>
  <c r="F50" i="1" s="1"/>
  <c r="H50" i="1" s="1"/>
  <c r="H51" i="1" s="1"/>
  <c r="H35" i="1" s="1"/>
  <c r="H184" i="1" l="1"/>
  <c r="F185" i="1" s="1"/>
  <c r="H185" i="1" s="1"/>
  <c r="H186" i="1" s="1"/>
  <c r="H166" i="1" s="1"/>
  <c r="H204" i="1"/>
  <c r="F205" i="1" s="1"/>
  <c r="H205" i="1" s="1"/>
  <c r="F206" i="1" s="1"/>
  <c r="H206" i="1" s="1"/>
  <c r="H207" i="1" s="1"/>
  <c r="H188" i="1" s="1"/>
  <c r="F115" i="1"/>
  <c r="H115" i="1" s="1"/>
  <c r="F116" i="1" s="1"/>
  <c r="H116" i="1" s="1"/>
  <c r="F117" i="1" s="1"/>
  <c r="H117" i="1" s="1"/>
  <c r="H118" i="1" s="1"/>
  <c r="H9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<sst xmlns="http://schemas.openxmlformats.org/spreadsheetml/2006/main" count="946" uniqueCount="569">
  <si>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</si>
  <si>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</si>
  <si>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</si>
  <si>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</si>
  <si>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</si>
  <si>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</si>
  <si>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</si>
  <si>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</si>
  <si>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</si>
  <si>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</si>
  <si>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</si>
  <si>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</si>
  <si>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</si>
  <si>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</si>
  <si>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</si>
  <si>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</si>
  <si>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</si>
  <si>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</si>
  <si>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</si>
  <si>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</si>
  <si>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</si>
  <si>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</si>
  <si>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</si>
  <si>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</si>
  <si>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</si>
  <si>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</si>
  <si>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</si>
  <si>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</si>
  <si>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</si>
  <si>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</si>
  <si>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</si>
  <si>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</si>
  <si>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</si>
  <si>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</si>
  <si>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</si>
  <si>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</si>
  <si>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</si>
  <si>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</si>
  <si>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</si>
  <si>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</si>
  <si>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</si>
  <si>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</si>
  <si>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</si>
  <si>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</si>
  <si>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</si>
  <si>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</si>
  <si>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</si>
  <si>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</si>
  <si>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</si>
  <si>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</si>
  <si>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</si>
  <si>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</si>
  <si>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</si>
  <si>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</si>
  <si>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</si>
  <si>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</si>
  <si>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</si>
  <si>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</si>
  <si>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</si>
  <si>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</si>
  <si>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</si>
  <si>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</si>
  <si>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</si>
  <si>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</si>
  <si>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</si>
  <si>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</si>
  <si>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</si>
  <si>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</si>
  <si>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</si>
  <si>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</si>
  <si>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</si>
  <si>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</si>
  <si>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</si>
  <si>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</si>
  <si>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</si>
  <si>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</si>
  <si>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</si>
  <si>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</si>
  <si>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</si>
  <si>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</si>
  <si>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</si>
  <si>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</si>
  <si>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</si>
  <si>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</si>
  <si>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</si>
  <si>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</si>
  <si>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</si>
  <si>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</si>
  <si>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</si>
  <si>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</si>
  <si>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</si>
  <si>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</si>
  <si>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</si>
  <si>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</si>
  <si>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</si>
  <si>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</si>
  <si>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</si>
  <si>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</si>
  <si>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</si>
  <si>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</si>
  <si>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</si>
  <si>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</si>
  <si>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</si>
  <si>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</si>
  <si>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</si>
  <si>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</si>
  <si>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</si>
  <si>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</si>
  <si>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</si>
  <si>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</si>
  <si>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</si>
  <si>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</si>
  <si>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</si>
  <si>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</si>
  <si>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</si>
  <si>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</si>
  <si>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</si>
  <si>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</si>
  <si>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</si>
  <si>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</si>
  <si>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</si>
  <si>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</si>
  <si>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</si>
  <si>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</si>
  <si>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</si>
  <si>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</si>
  <si>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</si>
  <si>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</si>
  <si>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</si>
  <si>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</si>
  <si>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</si>
  <si>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</si>
  <si>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</si>
  <si>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</si>
  <si>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</si>
  <si>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</si>
  <si>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</si>
  <si>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</si>
  <si>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</si>
  <si>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</si>
  <si>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</si>
  <si>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</si>
  <si>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</si>
  <si>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</si>
  <si>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</si>
  <si>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</si>
  <si>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</si>
  <si>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</si>
  <si>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</si>
  <si>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</si>
  <si>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</si>
  <si>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</si>
  <si>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</si>
  <si>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</si>
  <si>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</si>
  <si>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</si>
  <si>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</si>
  <si>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</si>
  <si>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</si>
  <si>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</si>
  <si>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</si>
  <si>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</si>
  <si>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</si>
  <si>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</si>
  <si>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</si>
  <si>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</si>
  <si>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</si>
  <si>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</si>
  <si>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</si>
  <si>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</si>
  <si>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</si>
  <si>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</si>
  <si>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</si>
  <si>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</si>
  <si>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</si>
  <si>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</si>
  <si>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</si>
  <si>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</si>
  <si>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</si>
  <si>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</si>
  <si>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</si>
  <si>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</si>
  <si>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</si>
  <si>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</si>
  <si>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</si>
  <si>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</si>
  <si>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</si>
  <si>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</si>
  <si>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</si>
  <si>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</si>
  <si>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</si>
  <si>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</si>
  <si>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</si>
  <si>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</si>
  <si>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</si>
  <si>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</si>
  <si>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</si>
  <si>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</si>
  <si>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</si>
  <si>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</si>
  <si>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</si>
  <si>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</si>
  <si>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</si>
  <si>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</si>
  <si>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</si>
  <si>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</si>
  <si>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</si>
  <si>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</si>
  <si>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</si>
  <si>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</si>
  <si>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</si>
  <si>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</si>
  <si>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</si>
  <si>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</si>
  <si>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</si>
  <si>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</si>
  <si>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</si>
  <si>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</si>
  <si>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</si>
  <si>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</si>
  <si>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</si>
  <si>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</si>
  <si>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</si>
  <si>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</si>
  <si>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</si>
  <si>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</si>
  <si>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</si>
  <si>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</si>
  <si>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</si>
  <si>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</si>
  <si>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</si>
  <si>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</si>
  <si>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</si>
  <si>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</si>
  <si>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</si>
  <si>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</si>
  <si>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</si>
  <si>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</si>
  <si>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</si>
  <si>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</si>
  <si>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</si>
  <si>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</si>
  <si>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</si>
  <si>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</si>
  <si>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</si>
  <si>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</si>
  <si>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</si>
  <si>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</si>
  <si>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</si>
  <si>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</si>
  <si>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</si>
  <si>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</si>
  <si>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</si>
  <si>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</si>
  <si>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</si>
  <si>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</si>
  <si>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</si>
  <si>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</si>
  <si>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</si>
  <si>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</si>
  <si>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</si>
  <si>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</si>
  <si>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</si>
  <si>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</si>
  <si>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</si>
  <si>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</si>
  <si>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</si>
  <si>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</si>
  <si>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</si>
  <si>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</si>
  <si>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</si>
  <si>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</si>
  <si>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</si>
  <si>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</si>
  <si>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</si>
  <si>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</si>
  <si>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</si>
  <si>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</si>
  <si>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</si>
  <si>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</si>
  <si>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</si>
  <si>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</si>
  <si>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</si>
  <si>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</si>
  <si>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</si>
  <si>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</si>
  <si>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</si>
  <si>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</si>
  <si>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</si>
  <si>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</si>
  <si>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</si>
  <si>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</si>
  <si>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</si>
  <si>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</si>
  <si>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</si>
  <si>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</si>
  <si>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</si>
  <si>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</si>
  <si>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</si>
  <si>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</si>
  <si>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</si>
  <si>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</si>
  <si>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</si>
  <si>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</si>
  <si>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</si>
  <si>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</si>
  <si>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</si>
  <si>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</si>
  <si>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</si>
  <si>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</si>
  <si>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</si>
  <si>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</si>
  <si>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</si>
  <si>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</si>
  <si>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</si>
  <si>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</si>
  <si>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</si>
  <si>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</si>
  <si>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</si>
  <si>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</si>
  <si>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</si>
  <si>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</si>
  <si>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</si>
  <si>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</si>
  <si>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</si>
  <si>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</si>
  <si>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</si>
  <si>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</si>
  <si>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</si>
  <si>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</si>
  <si>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</si>
  <si>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</si>
  <si>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</si>
  <si>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</si>
  <si>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</si>
  <si>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</si>
  <si>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</si>
  <si>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</si>
  <si>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</si>
  <si>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</si>
  <si>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</si>
  <si>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</si>
  <si>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</si>
  <si>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</si>
  <si>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</si>
  <si>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</si>
  <si>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</si>
  <si>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</si>
  <si>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</si>
  <si>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</si>
  <si>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</si>
  <si>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</si>
  <si>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</si>
  <si>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</si>
  <si>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</si>
  <si>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</si>
  <si>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</si>
  <si>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</si>
  <si>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</si>
  <si>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</si>
  <si>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</si>
  <si>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</si>
  <si>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</si>
  <si>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</si>
  <si>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</si>
  <si>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</si>
  <si>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</si>
  <si>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</si>
  <si>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</si>
  <si>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</si>
  <si>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</si>
  <si>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</si>
  <si>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</si>
  <si>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</si>
  <si>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</si>
  <si>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</si>
  <si>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</si>
  <si>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</si>
  <si>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</si>
  <si>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</si>
  <si>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</si>
  <si>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</si>
  <si>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</si>
  <si>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</si>
  <si>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</si>
  <si>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</si>
  <si>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</si>
  <si>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</si>
  <si>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</si>
  <si>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</si>
  <si>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</si>
  <si>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</si>
  <si>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</si>
  <si>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</si>
  <si>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</si>
  <si>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</si>
  <si>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</si>
  <si>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</si>
  <si>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</si>
  <si>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</si>
  <si>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</si>
  <si>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</si>
  <si>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</si>
  <si>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</si>
  <si>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</si>
  <si>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</si>
  <si>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</si>
  <si>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</si>
  <si>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</si>
  <si>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</si>
  <si>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</si>
  <si>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</si>
  <si>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</si>
  <si>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</si>
  <si>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</si>
  <si>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</si>
  <si>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</si>
  <si>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</si>
  <si>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</si>
  <si>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</si>
  <si>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</si>
  <si>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</si>
  <si>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</si>
  <si>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</si>
  <si>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</si>
  <si>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</si>
  <si>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</si>
  <si>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</si>
  <si>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</si>
  <si>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</si>
  <si>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</si>
  <si>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</si>
  <si>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</si>
  <si>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</si>
  <si>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</si>
  <si>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</si>
  <si>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</si>
  <si>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</si>
  <si>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</si>
  <si>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</si>
  <si>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</si>
  <si>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</si>
  <si>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</si>
  <si>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</si>
  <si>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</si>
  <si>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</si>
  <si>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</si>
  <si>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</si>
  <si>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</si>
  <si>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</si>
  <si>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</si>
  <si>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</si>
  <si>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</si>
  <si>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</si>
  <si>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</si>
  <si>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</si>
  <si>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</si>
  <si>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</si>
  <si>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</si>
  <si>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</si>
  <si>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</si>
  <si>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</si>
  <si>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</si>
  <si>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</si>
  <si>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</si>
  <si>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</si>
  <si>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</si>
  <si>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</si>
  <si>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</si>
  <si>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</si>
  <si>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</si>
  <si>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</si>
  <si>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</si>
  <si>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</si>
  <si>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</si>
  <si>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</si>
  <si>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</si>
  <si>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</si>
  <si>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</si>
  <si>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</si>
  <si>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</si>
  <si>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</si>
  <si>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</si>
  <si>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</si>
  <si>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</si>
  <si>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</si>
  <si>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</si>
  <si>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</si>
  <si>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</si>
  <si>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</si>
  <si>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</si>
  <si>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</si>
  <si>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</si>
  <si>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</si>
  <si>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</si>
  <si>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</si>
  <si>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</si>
  <si>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</si>
  <si>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</si>
  <si>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</si>
  <si>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</si>
  <si>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</si>
  <si>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</si>
  <si>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</si>
  <si>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</si>
  <si>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</si>
  <si>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</si>
  <si>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</si>
  <si>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</si>
  <si>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</si>
  <si>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</si>
  <si>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</si>
  <si>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</si>
  <si>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</si>
  <si>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</si>
  <si>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</si>
  <si>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</si>
  <si>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</si>
  <si>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</si>
  <si>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</si>
  <si>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</si>
  <si>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</si>
  <si>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</si>
  <si>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</si>
  <si>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</si>
  <si>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</si>
  <si>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</si>
  <si>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</si>
  <si>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</si>
  <si>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</si>
  <si>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</si>
  <si>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</si>
  <si>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</si>
  <si>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</si>
  <si>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</si>
  <si>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</si>
  <si>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</si>
  <si>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</si>
  <si>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</si>
  <si>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</si>
  <si>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</si>
  <si>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</si>
  <si>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</si>
  <si>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</si>
  <si>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</si>
  <si>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8 peones / 8m3/día</t>
  </si>
  <si>
    <t>8 horas / 8m3/día</t>
  </si>
  <si>
    <t>CONCRETO F'c= 150 Kg/cm2 TMA 3/4" HECHO EN OBRA</t>
  </si>
  <si>
    <t>BA004</t>
  </si>
  <si>
    <t>DESM</t>
  </si>
  <si>
    <t>DESMOLDANTE</t>
  </si>
  <si>
    <t>ALAMBRON 1/4</t>
  </si>
  <si>
    <t>ALAMBRON</t>
  </si>
  <si>
    <t>m</t>
  </si>
  <si>
    <t>PU006</t>
  </si>
  <si>
    <t>IMPERMEABILIZACION DE CADENA DE DESPLANTE DE 15 CM DE ANCHO A BASE EMULSION ASFALTICA Y RIEO DE ARENA</t>
  </si>
  <si>
    <t>EMULSION</t>
  </si>
  <si>
    <t>EMULSION ASFALTICA VAPORTITE</t>
  </si>
  <si>
    <t>PU007</t>
  </si>
  <si>
    <t>MURO DE 15 CM DE ESPESOR DE TABIQUE ROJO RECOCIDO 7X14X28, ASENTADO CON MORTERO CEMENTO-ARENA EN PROPORCION 1:5</t>
  </si>
  <si>
    <t>TABIQUE ROJO RECOCIDO 7x14x28</t>
  </si>
  <si>
    <t>Millar</t>
  </si>
  <si>
    <t>TABIQUE</t>
  </si>
  <si>
    <t>PU008</t>
  </si>
  <si>
    <t>APLANADO DE YESO EN MUROS A REGLA 1.5 CM DE ESPESOR PROMEDIO CON MORTERO YESO-AGUA</t>
  </si>
  <si>
    <t>YESO</t>
  </si>
  <si>
    <t>BA005</t>
  </si>
  <si>
    <t>MORTERO YESO-AGUA</t>
  </si>
  <si>
    <t>YESO BLANCO EN SACO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</si>
</sst>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3" tint="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B13" sqref="B13"/>
    </sheetView>
  </sheetViews>
  <sheetFormatPr baseColWidth="10" defaultColWidth="11.5703125" defaultRowHeight="15" x14ac:dyDescent="0.25"/>
  <cols>
    <col min="1" max="1" width="15.85546875" style="1" customWidth="1"/>
    <col min="2" max="2" width="72.28515625" style="1" customWidth="1"/>
    <col min="3" max="3" width="13.28515625" style="1" customWidth="1"/>
    <col min="4" max="4" width="12.42578125" style="1" customWidth="1"/>
    <col min="5" max="16384" width="11.5703125" style="1"/>
  </cols>
  <sheetData>
    <row r="1" spans="1:5" x14ac:dyDescent="0.25">
      <c r="C1" s="9"/>
      <c r="D1" s="9"/>
    </row>
    <row r="2" spans="1:5" x14ac:dyDescent="0.25">
      <c r="C2" s="46" t="s">
        <v>498</v>
      </c>
      <c r="D2" s="9"/>
    </row>
    <row r="3" spans="1:5" x14ac:dyDescent="0.25">
      <c r="C3" s="9" t="s">
        <v>504</v>
      </c>
      <c r="D3" s="9">
        <v>208.9</v>
      </c>
      <c r="E3" s="1" t="s">
        <v>50</v>
      </c>
    </row>
    <row r="4" spans="1:5" x14ac:dyDescent="0.25">
      <c r="C4" s="9"/>
      <c r="D4" s="9"/>
    </row>
    <row r="5" spans="1:5" s="8" customFormat="1" ht="28.15" customHeight="1" thickBot="1" x14ac:dyDescent="0.3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 x14ac:dyDescent="0.2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 x14ac:dyDescent="0.2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 x14ac:dyDescent="0.2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 x14ac:dyDescent="0.2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 x14ac:dyDescent="0.2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 x14ac:dyDescent="0.2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 x14ac:dyDescent="0.2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 x14ac:dyDescent="0.2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 x14ac:dyDescent="0.2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 x14ac:dyDescent="0.2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 x14ac:dyDescent="0.2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 x14ac:dyDescent="0.2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 x14ac:dyDescent="0.2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 x14ac:dyDescent="0.2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 x14ac:dyDescent="0.2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 x14ac:dyDescent="0.2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 x14ac:dyDescent="0.2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 x14ac:dyDescent="0.25">
      <c r="E24" s="5"/>
    </row>
    <row r="25" spans="1:5" s="6" customFormat="1" x14ac:dyDescent="0.25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topLeftCell="A221" workbookViewId="0">
      <selection activeCell="B13" sqref="B13"/>
    </sheetView>
  </sheetViews>
  <sheetFormatPr baseColWidth="10" defaultColWidth="11.5703125" defaultRowHeight="15" x14ac:dyDescent="0.25"/>
  <cols>
    <col min="1" max="1" width="11.5703125" style="1"/>
    <col min="2" max="2" width="46.7109375" style="1" customWidth="1"/>
    <col min="3" max="3" width="11.5703125" style="1"/>
    <col min="4" max="4" width="11.5703125" style="40"/>
    <col min="5" max="5" width="15.5703125" style="1" customWidth="1"/>
    <col min="6" max="6" width="16.140625" style="1" customWidth="1"/>
    <col min="7" max="16384" width="11.5703125" style="1"/>
  </cols>
  <sheetData>
    <row r="1" spans="1:6" x14ac:dyDescent="0.25">
      <c r="C1" s="9"/>
    </row>
    <row r="2" spans="1:6" x14ac:dyDescent="0.25">
      <c r="C2" s="9" t="s">
        <v>225</v>
      </c>
    </row>
    <row r="3" spans="1:6" x14ac:dyDescent="0.25">
      <c r="C3" s="9"/>
    </row>
    <row r="4" spans="1:6" x14ac:dyDescent="0.25">
      <c r="C4" s="9"/>
    </row>
    <row r="5" spans="1:6" s="8" customFormat="1" ht="28.15" customHeight="1" thickBot="1" x14ac:dyDescent="0.3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x14ac:dyDescent="0.25">
      <c r="B7" s="6" t="s">
        <v>95</v>
      </c>
    </row>
    <row r="8" spans="1:6" ht="60" x14ac:dyDescent="0.25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5" x14ac:dyDescent="0.25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60" x14ac:dyDescent="0.25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90" x14ac:dyDescent="0.25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60" x14ac:dyDescent="0.25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x14ac:dyDescent="0.25">
      <c r="B13" s="39" t="s">
        <v>109</v>
      </c>
      <c r="C13" s="38"/>
      <c r="D13" s="42"/>
      <c r="F13" s="43">
        <f>SUM(F8:F12)</f>
        <v>473700.94</v>
      </c>
    </row>
    <row r="14" spans="1:6" x14ac:dyDescent="0.25">
      <c r="B14" s="39" t="s">
        <v>110</v>
      </c>
      <c r="C14" s="38"/>
      <c r="D14" s="42"/>
      <c r="F14" s="10"/>
    </row>
    <row r="15" spans="1:6" ht="75" x14ac:dyDescent="0.25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60" x14ac:dyDescent="0.25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20" x14ac:dyDescent="0.25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0" x14ac:dyDescent="0.25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20" x14ac:dyDescent="0.25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60" x14ac:dyDescent="0.25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20" x14ac:dyDescent="0.25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105" x14ac:dyDescent="0.25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105" x14ac:dyDescent="0.25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105" x14ac:dyDescent="0.25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105" x14ac:dyDescent="0.25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90" x14ac:dyDescent="0.25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90" x14ac:dyDescent="0.25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x14ac:dyDescent="0.25">
      <c r="B28" s="39" t="s">
        <v>138</v>
      </c>
      <c r="C28" s="38"/>
      <c r="D28" s="42"/>
      <c r="F28" s="43">
        <f>SUM(F15:F27)</f>
        <v>198852.83</v>
      </c>
    </row>
    <row r="29" spans="1:6" x14ac:dyDescent="0.25">
      <c r="B29" s="39" t="s">
        <v>139</v>
      </c>
      <c r="C29" s="38"/>
      <c r="D29" s="42"/>
      <c r="F29" s="10"/>
    </row>
    <row r="30" spans="1:6" ht="60" x14ac:dyDescent="0.25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60" x14ac:dyDescent="0.25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5" x14ac:dyDescent="0.25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5" x14ac:dyDescent="0.25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5" x14ac:dyDescent="0.25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5" x14ac:dyDescent="0.25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5" x14ac:dyDescent="0.25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5" x14ac:dyDescent="0.25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5" x14ac:dyDescent="0.25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5" x14ac:dyDescent="0.25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105" x14ac:dyDescent="0.25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105" x14ac:dyDescent="0.25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105" x14ac:dyDescent="0.25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105" x14ac:dyDescent="0.25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90" x14ac:dyDescent="0.25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5" x14ac:dyDescent="0.25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x14ac:dyDescent="0.25">
      <c r="B46" s="39" t="s">
        <v>173</v>
      </c>
      <c r="C46" s="39"/>
      <c r="D46" s="44"/>
      <c r="E46" s="6"/>
      <c r="F46" s="43">
        <f>SUM(F30:F45)</f>
        <v>121685.02</v>
      </c>
    </row>
    <row r="47" spans="1:6" ht="30" x14ac:dyDescent="0.25">
      <c r="B47" s="39" t="s">
        <v>174</v>
      </c>
      <c r="C47" s="39"/>
      <c r="D47" s="44"/>
      <c r="E47" s="6"/>
      <c r="F47" s="43"/>
    </row>
    <row r="48" spans="1:6" ht="60" x14ac:dyDescent="0.25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5" x14ac:dyDescent="0.25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60" x14ac:dyDescent="0.25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5" x14ac:dyDescent="0.25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90" x14ac:dyDescent="0.25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60" x14ac:dyDescent="0.25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90" x14ac:dyDescent="0.25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90" x14ac:dyDescent="0.25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90" x14ac:dyDescent="0.25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90" x14ac:dyDescent="0.25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60" x14ac:dyDescent="0.25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20" x14ac:dyDescent="0.25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20" x14ac:dyDescent="0.25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105" x14ac:dyDescent="0.25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105" x14ac:dyDescent="0.25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105" x14ac:dyDescent="0.25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105" x14ac:dyDescent="0.25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105" x14ac:dyDescent="0.25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105" x14ac:dyDescent="0.25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5" x14ac:dyDescent="0.25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5" x14ac:dyDescent="0.25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60" x14ac:dyDescent="0.25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60" x14ac:dyDescent="0.25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60" x14ac:dyDescent="0.25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30" x14ac:dyDescent="0.25">
      <c r="B72" s="39" t="s">
        <v>224</v>
      </c>
      <c r="F72" s="6">
        <f>SUM(F48:F71)</f>
        <v>678831.77</v>
      </c>
    </row>
    <row r="73" spans="1:6" ht="30" x14ac:dyDescent="0.25">
      <c r="B73" s="39" t="s">
        <v>226</v>
      </c>
      <c r="C73" s="38"/>
      <c r="D73" s="42"/>
      <c r="E73" s="38"/>
    </row>
    <row r="74" spans="1:6" ht="75" x14ac:dyDescent="0.25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105" x14ac:dyDescent="0.25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60" x14ac:dyDescent="0.25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105" x14ac:dyDescent="0.25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105" x14ac:dyDescent="0.25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90" x14ac:dyDescent="0.25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90" x14ac:dyDescent="0.25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20" x14ac:dyDescent="0.25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90" x14ac:dyDescent="0.25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105" x14ac:dyDescent="0.25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105" x14ac:dyDescent="0.25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105" x14ac:dyDescent="0.25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5" x14ac:dyDescent="0.25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60" x14ac:dyDescent="0.25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5" x14ac:dyDescent="0.25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60" x14ac:dyDescent="0.25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60" x14ac:dyDescent="0.25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30" x14ac:dyDescent="0.25">
      <c r="B91" s="39" t="s">
        <v>502</v>
      </c>
      <c r="C91" s="39"/>
      <c r="D91" s="44"/>
      <c r="E91" s="39"/>
      <c r="F91" s="43">
        <f>SUM(F74:F90)</f>
        <v>393479.11</v>
      </c>
    </row>
    <row r="92" spans="1:6" ht="30" x14ac:dyDescent="0.25">
      <c r="B92" s="39" t="s">
        <v>256</v>
      </c>
      <c r="C92" s="39"/>
      <c r="D92" s="44"/>
      <c r="E92" s="39"/>
      <c r="F92" s="10"/>
    </row>
    <row r="93" spans="1:6" ht="105" x14ac:dyDescent="0.25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90" x14ac:dyDescent="0.25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5" x14ac:dyDescent="0.25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75" x14ac:dyDescent="0.25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60" x14ac:dyDescent="0.25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60" x14ac:dyDescent="0.25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5" x14ac:dyDescent="0.25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60" x14ac:dyDescent="0.25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105" x14ac:dyDescent="0.25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30" x14ac:dyDescent="0.25">
      <c r="B102" s="39" t="s">
        <v>274</v>
      </c>
      <c r="C102" s="39"/>
      <c r="D102" s="44"/>
      <c r="E102" s="39"/>
      <c r="F102" s="43">
        <f>SUM(F93:F101)</f>
        <v>112973.2</v>
      </c>
    </row>
    <row r="103" spans="1:6" x14ac:dyDescent="0.25">
      <c r="B103" s="39" t="s">
        <v>275</v>
      </c>
      <c r="C103" s="39"/>
      <c r="D103" s="44"/>
      <c r="E103" s="39"/>
      <c r="F103" s="10"/>
    </row>
    <row r="104" spans="1:6" ht="60" x14ac:dyDescent="0.25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60" x14ac:dyDescent="0.25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90" x14ac:dyDescent="0.25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90" x14ac:dyDescent="0.25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5" x14ac:dyDescent="0.25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60" x14ac:dyDescent="0.25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60" x14ac:dyDescent="0.25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60" x14ac:dyDescent="0.25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5" x14ac:dyDescent="0.25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5" x14ac:dyDescent="0.25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30" x14ac:dyDescent="0.25">
      <c r="B114" s="39" t="s">
        <v>297</v>
      </c>
      <c r="C114" s="39"/>
      <c r="D114" s="44"/>
      <c r="E114" s="39"/>
      <c r="F114" s="43">
        <f>SUM(F104:F113)</f>
        <v>37069.01</v>
      </c>
    </row>
    <row r="115" spans="1:6" x14ac:dyDescent="0.25">
      <c r="B115" s="39" t="s">
        <v>298</v>
      </c>
      <c r="C115" s="39"/>
      <c r="D115" s="44"/>
      <c r="E115" s="39"/>
      <c r="F115" s="10"/>
    </row>
    <row r="116" spans="1:6" ht="90" x14ac:dyDescent="0.25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20" x14ac:dyDescent="0.25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105" x14ac:dyDescent="0.25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105" x14ac:dyDescent="0.25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105" x14ac:dyDescent="0.25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105" x14ac:dyDescent="0.25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5" x14ac:dyDescent="0.25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90" x14ac:dyDescent="0.25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5" x14ac:dyDescent="0.25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5" x14ac:dyDescent="0.25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90" x14ac:dyDescent="0.25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5" x14ac:dyDescent="0.25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90" x14ac:dyDescent="0.25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75" x14ac:dyDescent="0.25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75" x14ac:dyDescent="0.25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60" x14ac:dyDescent="0.25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x14ac:dyDescent="0.25">
      <c r="B132" s="39" t="s">
        <v>331</v>
      </c>
      <c r="C132" s="39"/>
      <c r="D132" s="44"/>
      <c r="E132" s="39"/>
      <c r="F132" s="43">
        <f>SUM(F116:F131)</f>
        <v>40735.07</v>
      </c>
    </row>
    <row r="133" spans="1:6" x14ac:dyDescent="0.25">
      <c r="B133" s="39" t="s">
        <v>332</v>
      </c>
      <c r="C133" s="39"/>
      <c r="D133" s="44"/>
      <c r="E133" s="39"/>
      <c r="F133" s="10"/>
    </row>
    <row r="134" spans="1:6" ht="90" x14ac:dyDescent="0.25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60" x14ac:dyDescent="0.25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5" x14ac:dyDescent="0.25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5" x14ac:dyDescent="0.25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x14ac:dyDescent="0.25">
      <c r="B138" s="39" t="s">
        <v>341</v>
      </c>
      <c r="C138" s="39"/>
      <c r="D138" s="44"/>
      <c r="E138" s="39"/>
      <c r="F138" s="43">
        <f>SUM(F134:F137)</f>
        <v>33315.53</v>
      </c>
    </row>
    <row r="139" spans="1:6" x14ac:dyDescent="0.25">
      <c r="B139" s="39" t="s">
        <v>342</v>
      </c>
      <c r="C139" s="39"/>
      <c r="D139" s="44"/>
      <c r="E139" s="39"/>
      <c r="F139" s="10"/>
    </row>
    <row r="140" spans="1:6" ht="75" x14ac:dyDescent="0.25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5" x14ac:dyDescent="0.25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5" x14ac:dyDescent="0.25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90" x14ac:dyDescent="0.25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5" x14ac:dyDescent="0.25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60" x14ac:dyDescent="0.25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60" x14ac:dyDescent="0.25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60" x14ac:dyDescent="0.25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60" x14ac:dyDescent="0.25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45" x14ac:dyDescent="0.25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5" x14ac:dyDescent="0.25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5" x14ac:dyDescent="0.25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5" x14ac:dyDescent="0.25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x14ac:dyDescent="0.25">
      <c r="B153" s="39" t="s">
        <v>369</v>
      </c>
      <c r="C153" s="39"/>
      <c r="D153" s="44"/>
      <c r="E153" s="39"/>
      <c r="F153" s="43">
        <f>SUM(F140:F152)</f>
        <v>232732.62</v>
      </c>
    </row>
    <row r="154" spans="1:6" x14ac:dyDescent="0.25">
      <c r="B154" s="6" t="s">
        <v>370</v>
      </c>
    </row>
    <row r="155" spans="1:6" s="38" customFormat="1" ht="60" x14ac:dyDescent="0.25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60" x14ac:dyDescent="0.25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5" x14ac:dyDescent="0.25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5" x14ac:dyDescent="0.25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20" x14ac:dyDescent="0.25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60" x14ac:dyDescent="0.25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90" x14ac:dyDescent="0.25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x14ac:dyDescent="0.25">
      <c r="B162" s="39" t="s">
        <v>385</v>
      </c>
      <c r="D162" s="42"/>
      <c r="F162" s="39">
        <f>SUM(F155:F161)</f>
        <v>14256.34</v>
      </c>
    </row>
    <row r="163" spans="1:6" s="38" customFormat="1" x14ac:dyDescent="0.25">
      <c r="B163" s="39" t="s">
        <v>386</v>
      </c>
      <c r="D163" s="42"/>
    </row>
    <row r="164" spans="1:6" s="38" customFormat="1" ht="60" x14ac:dyDescent="0.25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5" x14ac:dyDescent="0.25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5" x14ac:dyDescent="0.25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5" x14ac:dyDescent="0.25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60" x14ac:dyDescent="0.25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 x14ac:dyDescent="0.25">
      <c r="B169" s="39" t="s">
        <v>397</v>
      </c>
      <c r="D169" s="42"/>
      <c r="F169" s="39">
        <f>SUM(F164:F168)</f>
        <v>62192.77</v>
      </c>
    </row>
    <row r="170" spans="1:6" x14ac:dyDescent="0.25">
      <c r="B170" s="6" t="s">
        <v>398</v>
      </c>
    </row>
    <row r="171" spans="1:6" s="38" customFormat="1" ht="75" x14ac:dyDescent="0.25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5" x14ac:dyDescent="0.25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20" x14ac:dyDescent="0.25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105" x14ac:dyDescent="0.25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60" x14ac:dyDescent="0.25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60" x14ac:dyDescent="0.25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60" x14ac:dyDescent="0.25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5" x14ac:dyDescent="0.25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5" x14ac:dyDescent="0.25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5" x14ac:dyDescent="0.25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5" x14ac:dyDescent="0.25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60" x14ac:dyDescent="0.25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60" x14ac:dyDescent="0.25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5" x14ac:dyDescent="0.25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60" x14ac:dyDescent="0.25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60" x14ac:dyDescent="0.25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 x14ac:dyDescent="0.25">
      <c r="B187" s="6" t="s">
        <v>419</v>
      </c>
      <c r="F187" s="39">
        <f>SUM(F171:F186)</f>
        <v>65092.9</v>
      </c>
    </row>
    <row r="188" spans="1:6" x14ac:dyDescent="0.25">
      <c r="B188" s="6" t="s">
        <v>420</v>
      </c>
    </row>
    <row r="189" spans="1:6" s="38" customFormat="1" ht="75" x14ac:dyDescent="0.25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5" x14ac:dyDescent="0.25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5" x14ac:dyDescent="0.25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5" x14ac:dyDescent="0.25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5" x14ac:dyDescent="0.25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90" x14ac:dyDescent="0.25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5" x14ac:dyDescent="0.25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90" x14ac:dyDescent="0.25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5" x14ac:dyDescent="0.25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5" x14ac:dyDescent="0.25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5" x14ac:dyDescent="0.25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5" x14ac:dyDescent="0.25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5" x14ac:dyDescent="0.25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 x14ac:dyDescent="0.25">
      <c r="B202" s="6" t="s">
        <v>447</v>
      </c>
      <c r="F202" s="6">
        <f>SUM(F189:F201)</f>
        <v>232807.83</v>
      </c>
    </row>
    <row r="203" spans="1:6" x14ac:dyDescent="0.25">
      <c r="B203" s="6" t="s">
        <v>448</v>
      </c>
    </row>
    <row r="204" spans="1:6" ht="60" x14ac:dyDescent="0.25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5" x14ac:dyDescent="0.25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60" x14ac:dyDescent="0.25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60" x14ac:dyDescent="0.25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60" x14ac:dyDescent="0.25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5" x14ac:dyDescent="0.25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60" x14ac:dyDescent="0.25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60" x14ac:dyDescent="0.25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60" x14ac:dyDescent="0.25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60" x14ac:dyDescent="0.25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60" x14ac:dyDescent="0.25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60" x14ac:dyDescent="0.25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60" x14ac:dyDescent="0.25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60" x14ac:dyDescent="0.25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75" x14ac:dyDescent="0.25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75" x14ac:dyDescent="0.25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75" x14ac:dyDescent="0.25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75" x14ac:dyDescent="0.25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 x14ac:dyDescent="0.25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x14ac:dyDescent="0.25">
      <c r="A223" s="38"/>
      <c r="B223" s="39" t="s">
        <v>486</v>
      </c>
      <c r="C223" s="38"/>
      <c r="D223" s="42"/>
      <c r="E223" s="38"/>
      <c r="F223" s="38"/>
    </row>
    <row r="224" spans="1:6" ht="90" x14ac:dyDescent="0.25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60" x14ac:dyDescent="0.25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 x14ac:dyDescent="0.25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x14ac:dyDescent="0.25">
      <c r="A227" s="38"/>
      <c r="B227" s="39" t="s">
        <v>492</v>
      </c>
      <c r="C227" s="38"/>
      <c r="D227" s="42"/>
      <c r="E227" s="38"/>
      <c r="F227" s="38"/>
    </row>
    <row r="228" spans="1:6" ht="45" x14ac:dyDescent="0.25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5" x14ac:dyDescent="0.25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 x14ac:dyDescent="0.25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x14ac:dyDescent="0.25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07"/>
  <sheetViews>
    <sheetView tabSelected="1" zoomScale="85" zoomScaleNormal="85" workbookViewId="0">
      <pane xSplit="8" ySplit="5" topLeftCell="I186" activePane="bottomRight" state="frozen"/>
      <selection activeCell="B13" sqref="B13"/>
      <selection pane="topRight" activeCell="B13" sqref="B13"/>
      <selection pane="bottomLeft" activeCell="B13" sqref="B13"/>
      <selection pane="bottomRight" activeCell="G191" sqref="G191"/>
    </sheetView>
  </sheetViews>
  <sheetFormatPr baseColWidth="10" defaultColWidth="11.5703125" defaultRowHeight="15" x14ac:dyDescent="0.25"/>
  <cols>
    <col min="1" max="2" width="11.5703125" style="1"/>
    <col min="3" max="3" width="13.42578125" style="1" bestFit="1" customWidth="1"/>
    <col min="4" max="4" width="44" style="1" customWidth="1"/>
    <col min="5" max="5" width="11.5703125" style="9"/>
    <col min="6" max="16384" width="11.5703125" style="1"/>
  </cols>
  <sheetData>
    <row r="2" spans="1:8" x14ac:dyDescent="0.25">
      <c r="E2" s="9" t="s">
        <v>90</v>
      </c>
    </row>
    <row r="5" spans="1:8" s="8" customFormat="1" ht="28.15" customHeight="1" thickBot="1" x14ac:dyDescent="0.3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 x14ac:dyDescent="0.25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269.49</v>
      </c>
    </row>
    <row r="8" spans="1:8" x14ac:dyDescent="0.25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IFERROR(VLOOKUP(C8,BA!$A$6:$H$185,{2,5,8},0),{"No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 x14ac:dyDescent="0.25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IFERROR(VLOOKUP(C9,MA!$A$6:$D$26,{2,3,4},0),IFERROR(VLOOKUP(C9,MO!$A$6:$D$26,{2,3,4},0),IFERROR(VLOOKUP(C9,MQ!$A$6:$D$26,{2,3,4},0),IFERROR(VLOOKUP(C9,BA!$A$6:$H$185,{2,5,8},0),{"No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 x14ac:dyDescent="0.25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IFERROR(VLOOKUP(C10,MA!$A$6:$D$26,{2,3,4},0),IFERROR(VLOOKUP(C10,MO!$A$6:$D$26,{2,3,4},0),IFERROR(VLOOKUP(C10,MQ!$A$6:$D$26,{2,3,4},0),IFERROR(VLOOKUP(C10,BA!$A$6:$H$185,{2,5,8},0),{"No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 x14ac:dyDescent="0.25">
      <c r="D11" s="4"/>
    </row>
    <row r="12" spans="1:8" x14ac:dyDescent="0.25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IFERROR(VLOOKUP(C12,BA!$A$6:$H$185,{2,5,8},0),{"No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 x14ac:dyDescent="0.25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IFERROR(VLOOKUP(C13,MA!$A$6:$D$26,{2,3,4},0),IFERROR(VLOOKUP(C13,MO!$A$6:$D$26,{2,3,4},0),IFERROR(VLOOKUP(C13,MQ!$A$6:$D$26,{2,3,4},0),IFERROR(VLOOKUP(C13,BA!$A$6:$H$185,{2,5,8},0),{"No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 x14ac:dyDescent="0.25">
      <c r="D14" s="4"/>
      <c r="E14" s="12"/>
      <c r="F14" s="4"/>
      <c r="H14" s="4"/>
    </row>
    <row r="15" spans="1:8" x14ac:dyDescent="0.25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 x14ac:dyDescent="0.25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 x14ac:dyDescent="0.25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 x14ac:dyDescent="0.25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</v>
      </c>
      <c r="H18" s="16">
        <f>G18*F18</f>
        <v>0</v>
      </c>
    </row>
    <row r="19" spans="3:8" x14ac:dyDescent="0.25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</v>
      </c>
      <c r="H19" s="16">
        <f>G19*F19</f>
        <v>0</v>
      </c>
    </row>
    <row r="21" spans="3:8" x14ac:dyDescent="0.25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 x14ac:dyDescent="0.25">
      <c r="C22" s="19" t="str">
        <f>k!$A$3</f>
        <v>IO</v>
      </c>
      <c r="D22" s="19" t="str">
        <f>k!$B$3</f>
        <v>INDIRECTOS OFICINA</v>
      </c>
      <c r="E22" s="20"/>
      <c r="F22" s="22">
        <f>SUM(H8:H19)</f>
        <v>180.47</v>
      </c>
      <c r="G22" s="23">
        <f>k!$D$3</f>
        <v>0.15</v>
      </c>
      <c r="H22" s="19">
        <f>G22*F22</f>
        <v>27.07</v>
      </c>
    </row>
    <row r="23" spans="3:8" x14ac:dyDescent="0.25">
      <c r="C23" s="19" t="str">
        <f>k!$A$4</f>
        <v>IC</v>
      </c>
      <c r="D23" s="19" t="str">
        <f>k!$B$4</f>
        <v>INDIRECTOS DE CAMPO</v>
      </c>
      <c r="E23" s="20"/>
      <c r="F23" s="19">
        <f>F22</f>
        <v>180.47</v>
      </c>
      <c r="G23" s="23">
        <f>k!$D$4</f>
        <v>0.2</v>
      </c>
      <c r="H23" s="19">
        <f>G23*F23</f>
        <v>36.090000000000003</v>
      </c>
    </row>
    <row r="24" spans="3:8" x14ac:dyDescent="0.25">
      <c r="C24" s="19" t="str">
        <f>k!$A$5</f>
        <v>FI</v>
      </c>
      <c r="D24" s="19" t="str">
        <f>k!$B$5</f>
        <v>FINANCIAMIENTO</v>
      </c>
      <c r="E24" s="20"/>
      <c r="F24" s="19">
        <f>F23+H22+H23</f>
        <v>243.63</v>
      </c>
      <c r="G24" s="23">
        <f>k!$D$5</f>
        <v>5.5999999999999999E-3</v>
      </c>
      <c r="H24" s="19">
        <f>G24*F24</f>
        <v>1.36</v>
      </c>
    </row>
    <row r="25" spans="3:8" x14ac:dyDescent="0.25">
      <c r="C25" s="19" t="str">
        <f>k!$A$6</f>
        <v>UT</v>
      </c>
      <c r="D25" s="19" t="str">
        <f>k!$B$6</f>
        <v>UTILIDAD</v>
      </c>
      <c r="E25" s="20"/>
      <c r="F25" s="19">
        <f>F24+H24</f>
        <v>244.99</v>
      </c>
      <c r="G25" s="23">
        <f>k!$D$6</f>
        <v>0.1</v>
      </c>
      <c r="H25" s="19">
        <f>G25*F25</f>
        <v>24.5</v>
      </c>
    </row>
    <row r="26" spans="3:8" x14ac:dyDescent="0.25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269.49</v>
      </c>
      <c r="G26" s="23">
        <f>k!$D$7</f>
        <v>0</v>
      </c>
      <c r="H26" s="19">
        <f>G26*F26</f>
        <v>0</v>
      </c>
    </row>
    <row r="27" spans="3:8" s="6" customFormat="1" x14ac:dyDescent="0.25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269.49</v>
      </c>
    </row>
    <row r="29" spans="3:8" x14ac:dyDescent="0.25">
      <c r="D29" s="4"/>
      <c r="E29" s="12"/>
      <c r="F29" s="4"/>
      <c r="H29" s="4"/>
    </row>
    <row r="30" spans="3:8" x14ac:dyDescent="0.25">
      <c r="D30" s="4"/>
      <c r="E30" s="12"/>
      <c r="F30" s="4"/>
      <c r="H30" s="4"/>
    </row>
    <row r="31" spans="3:8" x14ac:dyDescent="0.25">
      <c r="D31" s="4"/>
      <c r="E31" s="12"/>
      <c r="F31" s="4"/>
      <c r="H31" s="4"/>
    </row>
    <row r="32" spans="3:8" x14ac:dyDescent="0.25">
      <c r="D32" s="4"/>
      <c r="E32" s="12"/>
      <c r="F32" s="4"/>
      <c r="H32" s="4"/>
    </row>
    <row r="35" spans="1:8" x14ac:dyDescent="0.25">
      <c r="A35" s="1" t="s">
        <v>51</v>
      </c>
      <c r="B35" s="1" t="s">
        <v>52</v>
      </c>
      <c r="E35" s="9" t="s">
        <v>50</v>
      </c>
      <c r="H35" s="1">
        <f>H51</f>
        <v>108.65</v>
      </c>
    </row>
    <row r="36" spans="1:8" x14ac:dyDescent="0.25">
      <c r="D36" s="4"/>
    </row>
    <row r="37" spans="1:8" x14ac:dyDescent="0.25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IFERROR(VLOOKUP(C37,MA!$A$6:$D$26,{2,3,4},0),IFERROR(VLOOKUP(C37,MO!$A$6:$D$26,{2,3,4},0),IFERROR(VLOOKUP(C37,MQ!$A$6:$D$26,{2,3,4},0),IFERROR(VLOOKUP(C37,BA!$A$6:$H$185,{2,5,8},0),{"No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 x14ac:dyDescent="0.25">
      <c r="D38" s="4"/>
      <c r="E38" s="12"/>
      <c r="F38" s="4"/>
      <c r="H38" s="4"/>
    </row>
    <row r="39" spans="1:8" x14ac:dyDescent="0.25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 x14ac:dyDescent="0.25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 x14ac:dyDescent="0.25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 x14ac:dyDescent="0.25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</v>
      </c>
      <c r="H42" s="16">
        <f>G42*F42</f>
        <v>0</v>
      </c>
    </row>
    <row r="43" spans="1:8" x14ac:dyDescent="0.25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</v>
      </c>
      <c r="H43" s="16">
        <f>G43*F43</f>
        <v>0</v>
      </c>
    </row>
    <row r="45" spans="1:8" x14ac:dyDescent="0.25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 x14ac:dyDescent="0.25">
      <c r="C46" s="19" t="str">
        <f>k!$A$3</f>
        <v>IO</v>
      </c>
      <c r="D46" s="19" t="str">
        <f>k!$B$3</f>
        <v>INDIRECTOS OFICINA</v>
      </c>
      <c r="E46" s="20"/>
      <c r="F46" s="22">
        <f>SUM(H37:H43)</f>
        <v>72.760000000000005</v>
      </c>
      <c r="G46" s="23">
        <f>k!$D$3</f>
        <v>0.15</v>
      </c>
      <c r="H46" s="19">
        <f>G46*F46</f>
        <v>10.91</v>
      </c>
    </row>
    <row r="47" spans="1:8" x14ac:dyDescent="0.25">
      <c r="C47" s="19" t="str">
        <f>k!$A$4</f>
        <v>IC</v>
      </c>
      <c r="D47" s="19" t="str">
        <f>k!$B$4</f>
        <v>INDIRECTOS DE CAMPO</v>
      </c>
      <c r="E47" s="20"/>
      <c r="F47" s="19">
        <f>F46</f>
        <v>72.760000000000005</v>
      </c>
      <c r="G47" s="23">
        <f>k!$D$4</f>
        <v>0.2</v>
      </c>
      <c r="H47" s="19">
        <f>G47*F47</f>
        <v>14.55</v>
      </c>
    </row>
    <row r="48" spans="1:8" x14ac:dyDescent="0.25">
      <c r="C48" s="19" t="str">
        <f>k!$A$5</f>
        <v>FI</v>
      </c>
      <c r="D48" s="19" t="str">
        <f>k!$B$5</f>
        <v>FINANCIAMIENTO</v>
      </c>
      <c r="E48" s="20"/>
      <c r="F48" s="19">
        <f>F47+H46+H47</f>
        <v>98.22</v>
      </c>
      <c r="G48" s="23">
        <f>k!$D$5</f>
        <v>5.5999999999999999E-3</v>
      </c>
      <c r="H48" s="19">
        <f>G48*F48</f>
        <v>0.55000000000000004</v>
      </c>
    </row>
    <row r="49" spans="1:8" x14ac:dyDescent="0.25">
      <c r="C49" s="19" t="str">
        <f>k!$A$6</f>
        <v>UT</v>
      </c>
      <c r="D49" s="19" t="str">
        <f>k!$B$6</f>
        <v>UTILIDAD</v>
      </c>
      <c r="E49" s="20"/>
      <c r="F49" s="19">
        <f>F48+H48</f>
        <v>98.77</v>
      </c>
      <c r="G49" s="23">
        <f>k!$D$6</f>
        <v>0.1</v>
      </c>
      <c r="H49" s="19">
        <f>G49*F49</f>
        <v>9.8800000000000008</v>
      </c>
    </row>
    <row r="50" spans="1:8" x14ac:dyDescent="0.25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108.65</v>
      </c>
      <c r="G50" s="23">
        <f>k!$D$7</f>
        <v>0</v>
      </c>
      <c r="H50" s="19">
        <f>G50*F50</f>
        <v>0</v>
      </c>
    </row>
    <row r="51" spans="1:8" s="6" customFormat="1" x14ac:dyDescent="0.25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108.65</v>
      </c>
    </row>
    <row r="54" spans="1:8" x14ac:dyDescent="0.25">
      <c r="A54" s="1" t="s">
        <v>53</v>
      </c>
      <c r="B54" s="1" t="s">
        <v>54</v>
      </c>
      <c r="E54" s="9" t="s">
        <v>50</v>
      </c>
      <c r="H54" s="1">
        <f>H70</f>
        <v>54.35</v>
      </c>
    </row>
    <row r="55" spans="1:8" x14ac:dyDescent="0.25">
      <c r="D55" s="4"/>
    </row>
    <row r="56" spans="1:8" x14ac:dyDescent="0.25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IFERROR(VLOOKUP(C56,MA!$A$6:$D$26,{2,3,4},0),IFERROR(VLOOKUP(C56,MO!$A$6:$D$26,{2,3,4},0),IFERROR(VLOOKUP(C56,MQ!$A$6:$D$26,{2,3,4},0),IFERROR(VLOOKUP(C56,BA!$A$6:$H$185,{2,5,8},0),{"No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 x14ac:dyDescent="0.25">
      <c r="D57" s="4"/>
      <c r="E57" s="12"/>
      <c r="F57" s="4"/>
      <c r="H57" s="4"/>
    </row>
    <row r="58" spans="1:8" x14ac:dyDescent="0.25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 x14ac:dyDescent="0.25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 x14ac:dyDescent="0.25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 x14ac:dyDescent="0.25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31.92</v>
      </c>
      <c r="G61" s="16">
        <f>k!$D$13</f>
        <v>0</v>
      </c>
      <c r="H61" s="16">
        <f>G61*F61</f>
        <v>0</v>
      </c>
    </row>
    <row r="62" spans="1:8" x14ac:dyDescent="0.25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31.92</v>
      </c>
      <c r="G62" s="16">
        <f>k!$D$14</f>
        <v>0</v>
      </c>
      <c r="H62" s="16">
        <f>G62*F62</f>
        <v>0</v>
      </c>
    </row>
    <row r="64" spans="1:8" x14ac:dyDescent="0.25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 x14ac:dyDescent="0.25">
      <c r="C65" s="19" t="str">
        <f>k!$A$3</f>
        <v>IO</v>
      </c>
      <c r="D65" s="19" t="str">
        <f>k!$B$3</f>
        <v>INDIRECTOS OFICINA</v>
      </c>
      <c r="E65" s="20"/>
      <c r="F65" s="22">
        <f>SUM(H56:H62)</f>
        <v>36.39</v>
      </c>
      <c r="G65" s="23">
        <f>k!$D$3</f>
        <v>0.15</v>
      </c>
      <c r="H65" s="19">
        <f>G65*F65</f>
        <v>5.46</v>
      </c>
    </row>
    <row r="66" spans="1:8" x14ac:dyDescent="0.25">
      <c r="C66" s="19" t="str">
        <f>k!$A$4</f>
        <v>IC</v>
      </c>
      <c r="D66" s="19" t="str">
        <f>k!$B$4</f>
        <v>INDIRECTOS DE CAMPO</v>
      </c>
      <c r="E66" s="20"/>
      <c r="F66" s="19">
        <f>F65</f>
        <v>36.39</v>
      </c>
      <c r="G66" s="23">
        <f>k!$D$4</f>
        <v>0.2</v>
      </c>
      <c r="H66" s="19">
        <f>G66*F66</f>
        <v>7.28</v>
      </c>
    </row>
    <row r="67" spans="1:8" x14ac:dyDescent="0.25">
      <c r="C67" s="19" t="str">
        <f>k!$A$5</f>
        <v>FI</v>
      </c>
      <c r="D67" s="19" t="str">
        <f>k!$B$5</f>
        <v>FINANCIAMIENTO</v>
      </c>
      <c r="E67" s="20"/>
      <c r="F67" s="19">
        <f>F66+H65+H66</f>
        <v>49.13</v>
      </c>
      <c r="G67" s="23">
        <f>k!$D$5</f>
        <v>5.5999999999999999E-3</v>
      </c>
      <c r="H67" s="19">
        <f>G67*F67</f>
        <v>0.28000000000000003</v>
      </c>
    </row>
    <row r="68" spans="1:8" x14ac:dyDescent="0.25">
      <c r="C68" s="19" t="str">
        <f>k!$A$6</f>
        <v>UT</v>
      </c>
      <c r="D68" s="19" t="str">
        <f>k!$B$6</f>
        <v>UTILIDAD</v>
      </c>
      <c r="E68" s="20"/>
      <c r="F68" s="19">
        <f>F67+H67</f>
        <v>49.41</v>
      </c>
      <c r="G68" s="23">
        <f>k!$D$6</f>
        <v>0.1</v>
      </c>
      <c r="H68" s="19">
        <f>G68*F68</f>
        <v>4.9400000000000004</v>
      </c>
    </row>
    <row r="69" spans="1:8" x14ac:dyDescent="0.25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54.35</v>
      </c>
      <c r="G69" s="23">
        <f>k!$D$7</f>
        <v>0</v>
      </c>
      <c r="H69" s="19">
        <f>G69*F69</f>
        <v>0</v>
      </c>
    </row>
    <row r="70" spans="1:8" s="6" customFormat="1" x14ac:dyDescent="0.25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54.35</v>
      </c>
    </row>
    <row r="73" spans="1:8" s="10" customFormat="1" x14ac:dyDescent="0.25">
      <c r="A73" s="10" t="s">
        <v>55</v>
      </c>
      <c r="B73" s="49" t="s">
        <v>56</v>
      </c>
      <c r="C73" s="49"/>
      <c r="D73" s="49"/>
      <c r="E73" s="13" t="s">
        <v>57</v>
      </c>
      <c r="H73" s="10">
        <f>H92</f>
        <v>3626.08</v>
      </c>
    </row>
    <row r="74" spans="1:8" x14ac:dyDescent="0.25">
      <c r="C74" s="1" t="s">
        <v>537</v>
      </c>
      <c r="D74" s="4" t="str" cm="1">
        <f t="array" ref="D74:F74">IFERROR(VLOOKUP(C74,MA!$A$6:$D$26,{2,3,4},0),IFERROR(VLOOKUP(C74,MO!$A$6:$D$26,{2,3,4},0),IFERROR(VLOOKUP(C74,MQ!$A$6:$D$26,{2,3,4},0),IFERROR(VLOOKUP(C74,BA!$A$6:$H$185,{2,5,8},0),{"No encontrado","X","X"}))))</f>
        <v>PIEDRA BRAZA L.A.B. EN OBRA</v>
      </c>
      <c r="E74" s="12" t="str">
        <v>m3</v>
      </c>
      <c r="F74" s="4">
        <v>450</v>
      </c>
      <c r="G74" s="1">
        <v>1.6</v>
      </c>
      <c r="H74" s="4">
        <f t="shared" ref="H74:H77" si="3">G74*F74</f>
        <v>720</v>
      </c>
    </row>
    <row r="75" spans="1:8" x14ac:dyDescent="0.25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IFERROR(VLOOKUP(C75,MA!$A$6:$D$26,{2,3,4},0),IFERROR(VLOOKUP(C75,MO!$A$6:$D$26,{2,3,4},0),IFERROR(VLOOKUP(C75,MQ!$A$6:$D$26,{2,3,4},0),IFERROR(VLOOKUP(C75,BA!$A$6:$H$185,{2,5,8},0),{"No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 x14ac:dyDescent="0.25">
      <c r="D76" s="4"/>
      <c r="E76" s="12"/>
      <c r="F76" s="4"/>
      <c r="H76" s="4"/>
    </row>
    <row r="77" spans="1:8" x14ac:dyDescent="0.25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IFERROR(VLOOKUP(C77,MA!$A$6:$D$26,{2,3,4},0),IFERROR(VLOOKUP(C77,MO!$A$6:$D$26,{2,3,4},0),IFERROR(VLOOKUP(C77,MQ!$A$6:$D$26,{2,3,4},0),IFERROR(VLOOKUP(C77,BA!$A$6:$H$185,{2,5,8},0),{"No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 x14ac:dyDescent="0.25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IFERROR(VLOOKUP(C78,MA!$A$6:$D$26,{2,3,4},0),IFERROR(VLOOKUP(C78,MO!$A$6:$D$26,{2,3,4},0),IFERROR(VLOOKUP(C78,MQ!$A$6:$D$26,{2,3,4},0),IFERROR(VLOOKUP(C78,BA!$A$6:$H$185,{2,5,8},0),{"No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 x14ac:dyDescent="0.25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774.04</v>
      </c>
      <c r="G80" s="16">
        <f>k!$D$10</f>
        <v>0.03</v>
      </c>
      <c r="H80" s="16">
        <f>G80*F80</f>
        <v>23.22</v>
      </c>
    </row>
    <row r="81" spans="1:8" x14ac:dyDescent="0.25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774.04</v>
      </c>
      <c r="G81" s="16">
        <f>k!$D$11</f>
        <v>0.1</v>
      </c>
      <c r="H81" s="16">
        <f>G81*F81</f>
        <v>77.400000000000006</v>
      </c>
    </row>
    <row r="82" spans="1:8" x14ac:dyDescent="0.25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774.04</v>
      </c>
      <c r="G82" s="16">
        <f>k!$D$12</f>
        <v>0.01</v>
      </c>
      <c r="H82" s="16">
        <f>G82*F82</f>
        <v>7.74</v>
      </c>
    </row>
    <row r="83" spans="1:8" x14ac:dyDescent="0.25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774.04</v>
      </c>
      <c r="G83" s="16">
        <f>k!$D$13</f>
        <v>0</v>
      </c>
      <c r="H83" s="16">
        <f>G83*F83</f>
        <v>0</v>
      </c>
    </row>
    <row r="84" spans="1:8" x14ac:dyDescent="0.25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774.04</v>
      </c>
      <c r="G84" s="16">
        <f>k!$D$14</f>
        <v>0</v>
      </c>
      <c r="H84" s="16">
        <f>G84*F84</f>
        <v>0</v>
      </c>
    </row>
    <row r="86" spans="1:8" x14ac:dyDescent="0.25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 x14ac:dyDescent="0.25">
      <c r="C87" s="19" t="str">
        <f>k!$A$3</f>
        <v>IO</v>
      </c>
      <c r="D87" s="19" t="str">
        <f>k!$B$3</f>
        <v>INDIRECTOS OFICINA</v>
      </c>
      <c r="E87" s="20"/>
      <c r="F87" s="22">
        <f>SUM(H74:H84)</f>
        <v>2428.21</v>
      </c>
      <c r="G87" s="23">
        <f>k!$D$3</f>
        <v>0.15</v>
      </c>
      <c r="H87" s="19">
        <f>G87*F87</f>
        <v>364.23</v>
      </c>
    </row>
    <row r="88" spans="1:8" x14ac:dyDescent="0.25">
      <c r="C88" s="19" t="str">
        <f>k!$A$4</f>
        <v>IC</v>
      </c>
      <c r="D88" s="19" t="str">
        <f>k!$B$4</f>
        <v>INDIRECTOS DE CAMPO</v>
      </c>
      <c r="E88" s="20"/>
      <c r="F88" s="19">
        <f>F87</f>
        <v>2428.21</v>
      </c>
      <c r="G88" s="23">
        <f>k!$D$4</f>
        <v>0.2</v>
      </c>
      <c r="H88" s="19">
        <f>G88*F88</f>
        <v>485.64</v>
      </c>
    </row>
    <row r="89" spans="1:8" x14ac:dyDescent="0.25">
      <c r="C89" s="19" t="str">
        <f>k!$A$5</f>
        <v>FI</v>
      </c>
      <c r="D89" s="19" t="str">
        <f>k!$B$5</f>
        <v>FINANCIAMIENTO</v>
      </c>
      <c r="E89" s="20"/>
      <c r="F89" s="19">
        <f>F88+H87+H88</f>
        <v>3278.08</v>
      </c>
      <c r="G89" s="23">
        <f>k!$D$5</f>
        <v>5.5999999999999999E-3</v>
      </c>
      <c r="H89" s="19">
        <f>G89*F89</f>
        <v>18.36</v>
      </c>
    </row>
    <row r="90" spans="1:8" x14ac:dyDescent="0.25">
      <c r="C90" s="19" t="str">
        <f>k!$A$6</f>
        <v>UT</v>
      </c>
      <c r="D90" s="19" t="str">
        <f>k!$B$6</f>
        <v>UTILIDAD</v>
      </c>
      <c r="E90" s="20"/>
      <c r="F90" s="19">
        <f>F89+H89</f>
        <v>3296.44</v>
      </c>
      <c r="G90" s="23">
        <f>k!$D$6</f>
        <v>0.1</v>
      </c>
      <c r="H90" s="19">
        <f>G90*F90</f>
        <v>329.64</v>
      </c>
    </row>
    <row r="91" spans="1:8" x14ac:dyDescent="0.25">
      <c r="C91" s="19" t="str">
        <f>k!$A$7</f>
        <v>CA</v>
      </c>
      <c r="D91" s="19" t="str">
        <f>k!$B$7</f>
        <v>CARGOS ADICIONALES</v>
      </c>
      <c r="E91" s="20"/>
      <c r="F91" s="19">
        <f>(F90+H90)/(1-G91)</f>
        <v>3626.08</v>
      </c>
      <c r="G91" s="23">
        <f>k!$D$7</f>
        <v>0</v>
      </c>
      <c r="H91" s="19">
        <f>G91*F91</f>
        <v>0</v>
      </c>
    </row>
    <row r="92" spans="1:8" s="6" customFormat="1" x14ac:dyDescent="0.25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>
        <f>SUM(H87:H91)+F87</f>
        <v>3626.08</v>
      </c>
    </row>
    <row r="95" spans="1:8" s="10" customFormat="1" ht="33.6" customHeight="1" x14ac:dyDescent="0.25">
      <c r="A95" s="10" t="s">
        <v>75</v>
      </c>
      <c r="B95" s="49" t="s">
        <v>76</v>
      </c>
      <c r="C95" s="49"/>
      <c r="D95" s="49"/>
      <c r="E95" s="13" t="s">
        <v>553</v>
      </c>
      <c r="H95" s="10">
        <f>H118</f>
        <v>620.77</v>
      </c>
    </row>
    <row r="97" spans="3:8" x14ac:dyDescent="0.25">
      <c r="C97" s="1" t="s">
        <v>548</v>
      </c>
      <c r="D97" s="4" t="str" cm="1">
        <f t="array" ref="D97:F97">IFERROR(VLOOKUP(C97,MA!$A$6:$D$26,{2,3,4},0),IFERROR(VLOOKUP(C97,MO!$A$6:$D$26,{2,3,4},0),IFERROR(VLOOKUP(C97,MQ!$A$6:$D$26,{2,3,4},0),IFERROR(VLOOKUP(C97,BA!$A$6:$H$185,{2,5,8},0),{"No encontrado","X","X"}))))</f>
        <v>CIMBRA COMUN</v>
      </c>
      <c r="E97" s="12" t="str">
        <v>m2</v>
      </c>
      <c r="F97" s="4">
        <v>430.47</v>
      </c>
      <c r="G97" s="1">
        <f>0.15*2</f>
        <v>0.3</v>
      </c>
      <c r="H97" s="4">
        <f t="shared" ref="H97" si="6">G97*F97</f>
        <v>129.13999999999999</v>
      </c>
    </row>
    <row r="98" spans="3:8" x14ac:dyDescent="0.25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IFERROR(VLOOKUP(C98,MA!$A$6:$D$26,{2,3,4},0),IFERROR(VLOOKUP(C98,MO!$A$6:$D$26,{2,3,4},0),IFERROR(VLOOKUP(C98,MQ!$A$6:$D$26,{2,3,4},0),IFERROR(VLOOKUP(C98,BA!$A$6:$H$185,{2,5,8},0),{"No encontrado","X","X"}))))</f>
        <v>CONCRETO F'c= 150 Kg/cm2 TMA 3/4" HECHO EN OBRA</v>
      </c>
      <c r="E98" s="12" t="str">
        <v>m3</v>
      </c>
      <c r="F98" s="4">
        <v>2472.69</v>
      </c>
      <c r="G98" s="1">
        <f>0.15*0.15*1.05</f>
        <v>0.02</v>
      </c>
      <c r="H98" s="4">
        <f t="shared" ref="H98" si="7">G98*F98</f>
        <v>49.45</v>
      </c>
    </row>
    <row r="99" spans="3:8" x14ac:dyDescent="0.25">
      <c r="C99" s="1" t="s">
        <v>552</v>
      </c>
      <c r="D99" s="4" t="str" cm="1">
        <f t="array" ref="D99:F99">IFERROR(VLOOKUP(C99,MA!$A$6:$D$26,{2,3,4},0),IFERROR(VLOOKUP(C99,MO!$A$6:$D$26,{2,3,4},0),IFERROR(VLOOKUP(C99,MQ!$A$6:$D$26,{2,3,4},0),IFERROR(VLOOKUP(C99,BA!$A$6:$H$185,{2,5,8},0),{"No encontrado","X","X"}))))</f>
        <v>ALAMBRON 1/4</v>
      </c>
      <c r="E99" s="12" t="str">
        <v>Kg</v>
      </c>
      <c r="F99" s="4">
        <v>16</v>
      </c>
      <c r="G99" s="1">
        <f>0.15*4/0.15*0.248*1.03</f>
        <v>1.02</v>
      </c>
      <c r="H99" s="4">
        <f t="shared" ref="H99:H100" si="8">G99*F99</f>
        <v>16.32</v>
      </c>
    </row>
    <row r="100" spans="3:8" x14ac:dyDescent="0.25">
      <c r="C100" s="1" t="s">
        <v>542</v>
      </c>
      <c r="D100" s="4" t="str" cm="1">
        <f t="array" ref="D100:F100">IFERROR(VLOOKUP(C100,MA!$A$6:$D$26,{2,3,4},0),IFERROR(VLOOKUP(C100,MO!$A$6:$D$26,{2,3,4},0),IFERROR(VLOOKUP(C100,MQ!$A$6:$D$26,{2,3,4},0),IFERROR(VLOOKUP(C100,BA!$A$6:$H$185,{2,5,8},0),{"No encontrado","X","X"}))))</f>
        <v>VARILLA CORRUGADA</v>
      </c>
      <c r="E100" s="12" t="str">
        <v>Kg</v>
      </c>
      <c r="F100" s="4">
        <v>18</v>
      </c>
      <c r="G100" s="1">
        <f>4*0.556*1.05</f>
        <v>2.34</v>
      </c>
      <c r="H100" s="4">
        <f t="shared" si="8"/>
        <v>42.12</v>
      </c>
    </row>
    <row r="101" spans="3:8" x14ac:dyDescent="0.25">
      <c r="C101" s="1" t="s">
        <v>543</v>
      </c>
      <c r="D101" s="4" t="str" cm="1">
        <f t="array" ref="D101:F101">IFERROR(VLOOKUP(C101,MA!$A$6:$D$26,{2,3,4},0),IFERROR(VLOOKUP(C101,MO!$A$6:$D$26,{2,3,4},0),IFERROR(VLOOKUP(C101,MQ!$A$6:$D$26,{2,3,4},0),IFERROR(VLOOKUP(C101,BA!$A$6:$H$185,{2,5,8},0),{"No encontrado","X","X"}))))</f>
        <v>ALAMBRE RECOCIDO</v>
      </c>
      <c r="E101" s="12" t="str">
        <v>Kg</v>
      </c>
      <c r="F101" s="4">
        <v>22</v>
      </c>
      <c r="G101" s="1">
        <f>(G99+G100)*0.03</f>
        <v>0.1</v>
      </c>
      <c r="H101" s="4">
        <f t="shared" ref="H101" si="9">G101*F101</f>
        <v>2.2000000000000002</v>
      </c>
    </row>
    <row r="102" spans="3:8" x14ac:dyDescent="0.25">
      <c r="D102" s="4"/>
    </row>
    <row r="103" spans="3:8" x14ac:dyDescent="0.25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IFERROR(VLOOKUP(C103,MA!$A$6:$D$26,{2,3,4},0),IFERROR(VLOOKUP(C103,MO!$A$6:$D$26,{2,3,4},0),IFERROR(VLOOKUP(C103,MQ!$A$6:$D$26,{2,3,4},0),IFERROR(VLOOKUP(C103,BA!$A$6:$H$185,{2,5,8},0),{"No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8" x14ac:dyDescent="0.25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IFERROR(VLOOKUP(C104,MA!$A$6:$D$26,{2,3,4},0),IFERROR(VLOOKUP(C104,MO!$A$6:$D$26,{2,3,4},0),IFERROR(VLOOKUP(C104,MQ!$A$6:$D$26,{2,3,4},0),IFERROR(VLOOKUP(C104,BA!$A$6:$H$185,{2,5,8},0),{"No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8" x14ac:dyDescent="0.25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 x14ac:dyDescent="0.25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 x14ac:dyDescent="0.25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 x14ac:dyDescent="0.25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</v>
      </c>
      <c r="H109" s="16">
        <f>G109*F109</f>
        <v>0</v>
      </c>
    </row>
    <row r="110" spans="3:8" x14ac:dyDescent="0.25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</v>
      </c>
      <c r="H110" s="16">
        <f>G110*F110</f>
        <v>0</v>
      </c>
    </row>
    <row r="112" spans="3:8" x14ac:dyDescent="0.25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1:8" x14ac:dyDescent="0.25">
      <c r="C113" s="19" t="str">
        <f>k!$A$3</f>
        <v>IO</v>
      </c>
      <c r="D113" s="19" t="str">
        <f>k!$B$3</f>
        <v>INDIRECTOS OFICINA</v>
      </c>
      <c r="E113" s="20"/>
      <c r="F113" s="22">
        <f>SUM(H97:H110)</f>
        <v>415.7</v>
      </c>
      <c r="G113" s="23">
        <f>k!$D$3</f>
        <v>0.15</v>
      </c>
      <c r="H113" s="19">
        <f>G113*F113</f>
        <v>62.36</v>
      </c>
    </row>
    <row r="114" spans="1:8" x14ac:dyDescent="0.25">
      <c r="C114" s="19" t="str">
        <f>k!$A$4</f>
        <v>IC</v>
      </c>
      <c r="D114" s="19" t="str">
        <f>k!$B$4</f>
        <v>INDIRECTOS DE CAMPO</v>
      </c>
      <c r="E114" s="20"/>
      <c r="F114" s="19">
        <f>F113</f>
        <v>415.7</v>
      </c>
      <c r="G114" s="23">
        <f>k!$D$4</f>
        <v>0.2</v>
      </c>
      <c r="H114" s="19">
        <f>G114*F114</f>
        <v>83.14</v>
      </c>
    </row>
    <row r="115" spans="1:8" x14ac:dyDescent="0.25">
      <c r="C115" s="19" t="str">
        <f>k!$A$5</f>
        <v>FI</v>
      </c>
      <c r="D115" s="19" t="str">
        <f>k!$B$5</f>
        <v>FINANCIAMIENTO</v>
      </c>
      <c r="E115" s="20"/>
      <c r="F115" s="19">
        <f>F114+H113+H114</f>
        <v>561.20000000000005</v>
      </c>
      <c r="G115" s="23">
        <f>k!$D$5</f>
        <v>5.5999999999999999E-3</v>
      </c>
      <c r="H115" s="19">
        <f>G115*F115</f>
        <v>3.14</v>
      </c>
    </row>
    <row r="116" spans="1:8" x14ac:dyDescent="0.25">
      <c r="C116" s="19" t="str">
        <f>k!$A$6</f>
        <v>UT</v>
      </c>
      <c r="D116" s="19" t="str">
        <f>k!$B$6</f>
        <v>UTILIDAD</v>
      </c>
      <c r="E116" s="20"/>
      <c r="F116" s="19">
        <f>F115+H115</f>
        <v>564.34</v>
      </c>
      <c r="G116" s="23">
        <f>k!$D$6</f>
        <v>0.1</v>
      </c>
      <c r="H116" s="19">
        <f>G116*F116</f>
        <v>56.43</v>
      </c>
    </row>
    <row r="117" spans="1:8" x14ac:dyDescent="0.25">
      <c r="C117" s="19" t="str">
        <f>k!$A$7</f>
        <v>CA</v>
      </c>
      <c r="D117" s="19" t="str">
        <f>k!$B$7</f>
        <v>CARGOS ADICIONALES</v>
      </c>
      <c r="E117" s="20"/>
      <c r="F117" s="19">
        <f>(F116+H116)/(1-G117)</f>
        <v>620.77</v>
      </c>
      <c r="G117" s="23">
        <f>k!$D$7</f>
        <v>0</v>
      </c>
      <c r="H117" s="19">
        <f>G117*F117</f>
        <v>0</v>
      </c>
    </row>
    <row r="118" spans="1:8" s="6" customFormat="1" x14ac:dyDescent="0.25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>
        <f>SUM(H113:H117)+F113</f>
        <v>620.77</v>
      </c>
    </row>
    <row r="121" spans="1:8" ht="34.5" customHeight="1" x14ac:dyDescent="0.25">
      <c r="A121" s="10" t="s">
        <v>554</v>
      </c>
      <c r="B121" s="49" t="s">
        <v>555</v>
      </c>
      <c r="C121" s="49"/>
      <c r="D121" s="49"/>
      <c r="E121" s="13" t="s">
        <v>553</v>
      </c>
      <c r="F121" s="10"/>
      <c r="G121" s="10"/>
      <c r="H121" s="10">
        <f>H140</f>
        <v>17.75</v>
      </c>
    </row>
    <row r="123" spans="1:8" x14ac:dyDescent="0.25">
      <c r="C123" s="1" t="s">
        <v>556</v>
      </c>
      <c r="D123" s="4" t="str" cm="1">
        <f t="array" ref="D123:F123">IFERROR(VLOOKUP(C123,MA!$A$6:$D$26,{2,3,4},0),IFERROR(VLOOKUP(C123,MO!$A$6:$D$26,{2,3,4},0),IFERROR(VLOOKUP(C123,MQ!$A$6:$D$26,{2,3,4},0),IFERROR(VLOOKUP(C123,BA!$A$6:$H$185,{2,5,8},0),{"No encontrado","X","X"}))))</f>
        <v>EMULSION ASFALTICA VAPORTITE</v>
      </c>
      <c r="E123" s="12" t="str">
        <v>Lt</v>
      </c>
      <c r="F123" s="4">
        <v>127.59</v>
      </c>
      <c r="G123" s="40">
        <f>0.2*0.15*1.05</f>
        <v>3.15E-2</v>
      </c>
      <c r="H123" s="4">
        <f t="shared" ref="H123:H124" si="12">G123*F123</f>
        <v>4.0199999999999996</v>
      </c>
    </row>
    <row r="124" spans="1:8" x14ac:dyDescent="0.25">
      <c r="C124" s="1" t="s">
        <v>539</v>
      </c>
      <c r="D124" s="4" t="str" cm="1">
        <f t="array" ref="D124:F124">IFERROR(VLOOKUP(C124,MA!$A$6:$D$26,{2,3,4},0),IFERROR(VLOOKUP(C124,MO!$A$6:$D$26,{2,3,4},0),IFERROR(VLOOKUP(C124,MQ!$A$6:$D$26,{2,3,4},0),IFERROR(VLOOKUP(C124,BA!$A$6:$H$185,{2,5,8},0),{"No encontrado","X","X"}))))</f>
        <v>ARENA DE RIO L.A.B. EN OBRA</v>
      </c>
      <c r="E124" s="12" t="str">
        <v>m3</v>
      </c>
      <c r="F124" s="4">
        <v>500</v>
      </c>
      <c r="G124" s="40">
        <f>0.003*0.15*1.01</f>
        <v>5.0000000000000001E-4</v>
      </c>
      <c r="H124" s="4">
        <f t="shared" si="12"/>
        <v>0.25</v>
      </c>
    </row>
    <row r="125" spans="1:8" x14ac:dyDescent="0.25">
      <c r="D125" s="4"/>
    </row>
    <row r="126" spans="1:8" x14ac:dyDescent="0.25">
      <c r="C126" s="1" t="s">
        <v>11</v>
      </c>
      <c r="D126" s="4" t="str" cm="1">
        <f t="array" ref="D126:F126">IFERROR(VLOOKUP(C126,MA!$A$6:$D$26,{2,3,4},0),IFERROR(VLOOKUP(C126,MO!$A$6:$D$26,{2,3,4},0),IFERROR(VLOOKUP(C126,MQ!$A$6:$D$26,{2,3,4},0),IFERROR(VLOOKUP(C126,BA!$A$6:$H$185,{2,5,8},0),{"No encontrado","X","X"}))))</f>
        <v xml:space="preserve">AYUDANTE GENERAL </v>
      </c>
      <c r="E126" s="12" t="str">
        <v>JOR</v>
      </c>
      <c r="F126" s="4">
        <v>668.33</v>
      </c>
      <c r="G126" s="1">
        <f>1/160</f>
        <v>0.01</v>
      </c>
      <c r="H126" s="4">
        <f t="shared" ref="H126" si="13">G126*F126</f>
        <v>6.68</v>
      </c>
    </row>
    <row r="128" spans="1:8" x14ac:dyDescent="0.25">
      <c r="C128" s="15" t="str">
        <f>k!$A$10</f>
        <v>HE001</v>
      </c>
      <c r="D128" s="16" t="str">
        <f>k!$B$10</f>
        <v>HERRAMIENTA MENOR</v>
      </c>
      <c r="E128" s="17" t="s">
        <v>33</v>
      </c>
      <c r="F128" s="18">
        <f>SUM(H126:H126)</f>
        <v>6.68</v>
      </c>
      <c r="G128" s="16">
        <f>k!$D$10</f>
        <v>0.03</v>
      </c>
      <c r="H128" s="16">
        <f>G128*F128</f>
        <v>0.2</v>
      </c>
    </row>
    <row r="129" spans="1:8" x14ac:dyDescent="0.25">
      <c r="C129" s="15" t="str">
        <f>k!$A$11</f>
        <v>HE002</v>
      </c>
      <c r="D129" s="16" t="str">
        <f>k!$B$11</f>
        <v>MANDO INTERMEDIO</v>
      </c>
      <c r="E129" s="17" t="s">
        <v>33</v>
      </c>
      <c r="F129" s="16">
        <f>F128</f>
        <v>6.68</v>
      </c>
      <c r="G129" s="16">
        <f>k!$D$11</f>
        <v>0.1</v>
      </c>
      <c r="H129" s="16">
        <f>G129*F129</f>
        <v>0.67</v>
      </c>
    </row>
    <row r="130" spans="1:8" x14ac:dyDescent="0.25">
      <c r="C130" s="15" t="str">
        <f>k!$A$12</f>
        <v>HE003</v>
      </c>
      <c r="D130" s="16" t="str">
        <f>k!$B$12</f>
        <v>EQUIPO DE SEGURIDAD</v>
      </c>
      <c r="E130" s="17" t="s">
        <v>33</v>
      </c>
      <c r="F130" s="16">
        <f t="shared" ref="F130:F132" si="14">F129</f>
        <v>6.68</v>
      </c>
      <c r="G130" s="16">
        <f>k!$D$12</f>
        <v>0.01</v>
      </c>
      <c r="H130" s="16">
        <f>G130*F130</f>
        <v>7.0000000000000007E-2</v>
      </c>
    </row>
    <row r="131" spans="1:8" x14ac:dyDescent="0.25">
      <c r="C131" s="15" t="str">
        <f>k!$A$13</f>
        <v>HE004</v>
      </c>
      <c r="D131" s="16" t="str">
        <f>k!$B$13</f>
        <v>PRESTACIONES S.S.</v>
      </c>
      <c r="E131" s="17" t="s">
        <v>33</v>
      </c>
      <c r="F131" s="16">
        <f t="shared" si="14"/>
        <v>6.68</v>
      </c>
      <c r="G131" s="16">
        <f>k!$D$13</f>
        <v>0</v>
      </c>
      <c r="H131" s="16">
        <f>G131*F131</f>
        <v>0</v>
      </c>
    </row>
    <row r="132" spans="1:8" x14ac:dyDescent="0.25">
      <c r="C132" s="15" t="str">
        <f>k!$A$14</f>
        <v>HE005</v>
      </c>
      <c r="D132" s="16" t="str">
        <f>k!$B$14</f>
        <v>IMPUESTO SOBRE NOMINA</v>
      </c>
      <c r="E132" s="17" t="s">
        <v>33</v>
      </c>
      <c r="F132" s="16">
        <f t="shared" si="14"/>
        <v>6.68</v>
      </c>
      <c r="G132" s="16">
        <f>k!$D$14</f>
        <v>0</v>
      </c>
      <c r="H132" s="16">
        <f>G132*F132</f>
        <v>0</v>
      </c>
    </row>
    <row r="134" spans="1:8" x14ac:dyDescent="0.25">
      <c r="C134" s="19" t="str">
        <f>k!$A$2</f>
        <v>CD</v>
      </c>
      <c r="D134" s="19" t="str">
        <f>k!$B$2</f>
        <v>COSTO DIRECTO</v>
      </c>
      <c r="E134" s="20"/>
      <c r="F134" s="21"/>
      <c r="G134" s="21"/>
      <c r="H134" s="21"/>
    </row>
    <row r="135" spans="1:8" x14ac:dyDescent="0.25">
      <c r="C135" s="19" t="str">
        <f>k!$A$3</f>
        <v>IO</v>
      </c>
      <c r="D135" s="19" t="str">
        <f>k!$B$3</f>
        <v>INDIRECTOS OFICINA</v>
      </c>
      <c r="E135" s="20"/>
      <c r="F135" s="22">
        <f>SUM(H123:H132)</f>
        <v>11.89</v>
      </c>
      <c r="G135" s="23">
        <f>k!$D$3</f>
        <v>0.15</v>
      </c>
      <c r="H135" s="19">
        <f>G135*F135</f>
        <v>1.78</v>
      </c>
    </row>
    <row r="136" spans="1:8" x14ac:dyDescent="0.25">
      <c r="C136" s="19" t="str">
        <f>k!$A$4</f>
        <v>IC</v>
      </c>
      <c r="D136" s="19" t="str">
        <f>k!$B$4</f>
        <v>INDIRECTOS DE CAMPO</v>
      </c>
      <c r="E136" s="20"/>
      <c r="F136" s="19">
        <f>F135</f>
        <v>11.89</v>
      </c>
      <c r="G136" s="23">
        <f>k!$D$4</f>
        <v>0.2</v>
      </c>
      <c r="H136" s="19">
        <f>G136*F136</f>
        <v>2.38</v>
      </c>
    </row>
    <row r="137" spans="1:8" x14ac:dyDescent="0.25">
      <c r="C137" s="19" t="str">
        <f>k!$A$5</f>
        <v>FI</v>
      </c>
      <c r="D137" s="19" t="str">
        <f>k!$B$5</f>
        <v>FINANCIAMIENTO</v>
      </c>
      <c r="E137" s="20"/>
      <c r="F137" s="19">
        <f>F136+H135+H136</f>
        <v>16.05</v>
      </c>
      <c r="G137" s="23">
        <f>k!$D$5</f>
        <v>5.5999999999999999E-3</v>
      </c>
      <c r="H137" s="19">
        <f>G137*F137</f>
        <v>0.09</v>
      </c>
    </row>
    <row r="138" spans="1:8" x14ac:dyDescent="0.25">
      <c r="C138" s="19" t="str">
        <f>k!$A$6</f>
        <v>UT</v>
      </c>
      <c r="D138" s="19" t="str">
        <f>k!$B$6</f>
        <v>UTILIDAD</v>
      </c>
      <c r="E138" s="20"/>
      <c r="F138" s="19">
        <f>F137+H137</f>
        <v>16.14</v>
      </c>
      <c r="G138" s="23">
        <f>k!$D$6</f>
        <v>0.1</v>
      </c>
      <c r="H138" s="19">
        <f>G138*F138</f>
        <v>1.61</v>
      </c>
    </row>
    <row r="139" spans="1:8" x14ac:dyDescent="0.25">
      <c r="C139" s="19" t="str">
        <f>k!$A$7</f>
        <v>CA</v>
      </c>
      <c r="D139" s="19" t="str">
        <f>k!$B$7</f>
        <v>CARGOS ADICIONALES</v>
      </c>
      <c r="E139" s="20"/>
      <c r="F139" s="19">
        <f>(F138+H138)/(1-G139)</f>
        <v>17.75</v>
      </c>
      <c r="G139" s="23">
        <f>k!$D$7</f>
        <v>0</v>
      </c>
      <c r="H139" s="19">
        <f>G139*F139</f>
        <v>0</v>
      </c>
    </row>
    <row r="140" spans="1:8" x14ac:dyDescent="0.25">
      <c r="A140" s="6"/>
      <c r="B140" s="6"/>
      <c r="C140" s="24" t="str">
        <f>k!$A$8</f>
        <v>PU</v>
      </c>
      <c r="D140" s="24" t="str">
        <f>k!$B$8</f>
        <v>PRECIO UNITARIO</v>
      </c>
      <c r="E140" s="25"/>
      <c r="F140" s="24"/>
      <c r="G140" s="26"/>
      <c r="H140" s="24">
        <f>SUM(H135:H139)+F135</f>
        <v>17.75</v>
      </c>
    </row>
    <row r="143" spans="1:8" ht="31.5" customHeight="1" x14ac:dyDescent="0.25">
      <c r="A143" s="10" t="s">
        <v>558</v>
      </c>
      <c r="B143" s="49" t="s">
        <v>559</v>
      </c>
      <c r="C143" s="49"/>
      <c r="D143" s="49"/>
      <c r="E143" s="13" t="s">
        <v>50</v>
      </c>
      <c r="F143" s="10"/>
      <c r="G143" s="10"/>
      <c r="H143" s="10">
        <f>H163</f>
        <v>613.71</v>
      </c>
    </row>
    <row r="145" spans="3:8" x14ac:dyDescent="0.25">
      <c r="C145" s="1" t="s">
        <v>562</v>
      </c>
      <c r="D145" s="4" t="str" cm="1">
        <f t="array" ref="D145:F145">IFERROR(VLOOKUP(C145,MA!$A$6:$D$26,{2,3,4},0),IFERROR(VLOOKUP(C145,MO!$A$6:$D$26,{2,3,4},0),IFERROR(VLOOKUP(C145,MQ!$A$6:$D$26,{2,3,4},0),IFERROR(VLOOKUP(C145,BA!$A$6:$H$185,{2,5,8},0),{"No encontrado","X","X"}))))</f>
        <v>TABIQUE ROJO RECOCIDO 7x14x28</v>
      </c>
      <c r="E145" s="12" t="str">
        <v>Millar</v>
      </c>
      <c r="F145" s="4">
        <v>3000</v>
      </c>
      <c r="G145" s="40">
        <f>(1/(0.29*0.08))*1.03/1000</f>
        <v>4.4400000000000002E-2</v>
      </c>
      <c r="H145" s="4">
        <f t="shared" ref="H145:H146" si="15">G145*F145</f>
        <v>133.19999999999999</v>
      </c>
    </row>
    <row r="146" spans="3:8" x14ac:dyDescent="0.25">
      <c r="C146" s="1" t="s">
        <v>60</v>
      </c>
      <c r="D146" s="4" t="str" cm="1">
        <f t="array" ref="D146:F146">IFERROR(VLOOKUP(C146,MA!$A$6:$D$26,{2,3,4},0),IFERROR(VLOOKUP(C146,MO!$A$6:$D$26,{2,3,4},0),IFERROR(VLOOKUP(C146,MQ!$A$6:$D$26,{2,3,4},0),IFERROR(VLOOKUP(C146,BA!$A$6:$H$185,{2,5,8},0),{"No encontrado","X","X"}))))</f>
        <v>MORTERO CEMENTO-ARENA 1:5</v>
      </c>
      <c r="E146" s="12" t="str">
        <v>m3</v>
      </c>
      <c r="F146" s="4">
        <v>2752.69</v>
      </c>
      <c r="G146" s="40">
        <f>(1.05*0.15)-44*(0.07*0.14*0.28)</f>
        <v>3.6799999999999999E-2</v>
      </c>
      <c r="H146" s="4">
        <f t="shared" si="15"/>
        <v>101.3</v>
      </c>
    </row>
    <row r="147" spans="3:8" x14ac:dyDescent="0.25">
      <c r="D147" s="4"/>
    </row>
    <row r="148" spans="3:8" x14ac:dyDescent="0.25">
      <c r="C148" s="1" t="s">
        <v>8</v>
      </c>
      <c r="D148" s="4" t="str" cm="1">
        <f t="array" ref="D148:F148">IFERROR(VLOOKUP(C148,MA!$A$6:$D$26,{2,3,4},0),IFERROR(VLOOKUP(C148,MO!$A$6:$D$26,{2,3,4},0),IFERROR(VLOOKUP(C148,MQ!$A$6:$D$26,{2,3,4},0),IFERROR(VLOOKUP(C148,BA!$A$6:$H$185,{2,5,8},0),{"No encontrado","X","X"}))))</f>
        <v>ALBAÑIL, OFICIAL</v>
      </c>
      <c r="E148" s="12" t="str">
        <v>JOR</v>
      </c>
      <c r="F148" s="4">
        <v>879.73</v>
      </c>
      <c r="G148" s="1">
        <f>1/10</f>
        <v>0.1</v>
      </c>
      <c r="H148" s="4">
        <f t="shared" ref="H148" si="16">G148*F148</f>
        <v>87.97</v>
      </c>
    </row>
    <row r="149" spans="3:8" x14ac:dyDescent="0.25">
      <c r="C149" s="1" t="s">
        <v>11</v>
      </c>
      <c r="D149" s="4" t="str" cm="1">
        <f t="array" ref="D149:F149">IFERROR(VLOOKUP(C149,MA!$A$6:$D$26,{2,3,4},0),IFERROR(VLOOKUP(C149,MO!$A$6:$D$26,{2,3,4},0),IFERROR(VLOOKUP(C149,MQ!$A$6:$D$26,{2,3,4},0),IFERROR(VLOOKUP(C149,BA!$A$6:$H$185,{2,5,8},0),{"No encontrado","X","X"}))))</f>
        <v xml:space="preserve">AYUDANTE GENERAL </v>
      </c>
      <c r="E149" s="12" t="str">
        <v>JOR</v>
      </c>
      <c r="F149" s="4">
        <v>668.33</v>
      </c>
      <c r="G149" s="1">
        <f>1/10</f>
        <v>0.1</v>
      </c>
      <c r="H149" s="4">
        <f t="shared" ref="H149" si="17">G149*F149</f>
        <v>66.83</v>
      </c>
    </row>
    <row r="151" spans="3:8" x14ac:dyDescent="0.25">
      <c r="C151" s="15" t="str">
        <f>k!$A$10</f>
        <v>HE001</v>
      </c>
      <c r="D151" s="16" t="str">
        <f>k!$B$10</f>
        <v>HERRAMIENTA MENOR</v>
      </c>
      <c r="E151" s="17" t="s">
        <v>33</v>
      </c>
      <c r="F151" s="18">
        <f>SUM(H148:H149)</f>
        <v>154.80000000000001</v>
      </c>
      <c r="G151" s="16">
        <f>k!$D$10</f>
        <v>0.03</v>
      </c>
      <c r="H151" s="16">
        <f>G151*F151</f>
        <v>4.6399999999999997</v>
      </c>
    </row>
    <row r="152" spans="3:8" x14ac:dyDescent="0.25">
      <c r="C152" s="15" t="str">
        <f>k!$A$11</f>
        <v>HE002</v>
      </c>
      <c r="D152" s="16" t="str">
        <f>k!$B$11</f>
        <v>MANDO INTERMEDIO</v>
      </c>
      <c r="E152" s="17" t="s">
        <v>33</v>
      </c>
      <c r="F152" s="16">
        <f>F151</f>
        <v>154.80000000000001</v>
      </c>
      <c r="G152" s="16">
        <f>k!$D$11</f>
        <v>0.1</v>
      </c>
      <c r="H152" s="16">
        <f>G152*F152</f>
        <v>15.48</v>
      </c>
    </row>
    <row r="153" spans="3:8" x14ac:dyDescent="0.25">
      <c r="C153" s="15" t="str">
        <f>k!$A$12</f>
        <v>HE003</v>
      </c>
      <c r="D153" s="16" t="str">
        <f>k!$B$12</f>
        <v>EQUIPO DE SEGURIDAD</v>
      </c>
      <c r="E153" s="17" t="s">
        <v>33</v>
      </c>
      <c r="F153" s="16">
        <f t="shared" ref="F153:F155" si="18">F152</f>
        <v>154.80000000000001</v>
      </c>
      <c r="G153" s="16">
        <f>k!$D$12</f>
        <v>0.01</v>
      </c>
      <c r="H153" s="16">
        <f>G153*F153</f>
        <v>1.55</v>
      </c>
    </row>
    <row r="154" spans="3:8" x14ac:dyDescent="0.25">
      <c r="C154" s="15" t="str">
        <f>k!$A$13</f>
        <v>HE004</v>
      </c>
      <c r="D154" s="16" t="str">
        <f>k!$B$13</f>
        <v>PRESTACIONES S.S.</v>
      </c>
      <c r="E154" s="17" t="s">
        <v>33</v>
      </c>
      <c r="F154" s="16">
        <f t="shared" si="18"/>
        <v>154.80000000000001</v>
      </c>
      <c r="G154" s="16">
        <f>k!$D$13</f>
        <v>0</v>
      </c>
      <c r="H154" s="16">
        <f>G154*F154</f>
        <v>0</v>
      </c>
    </row>
    <row r="155" spans="3:8" x14ac:dyDescent="0.25">
      <c r="C155" s="15" t="str">
        <f>k!$A$14</f>
        <v>HE005</v>
      </c>
      <c r="D155" s="16" t="str">
        <f>k!$B$14</f>
        <v>IMPUESTO SOBRE NOMINA</v>
      </c>
      <c r="E155" s="17" t="s">
        <v>33</v>
      </c>
      <c r="F155" s="16">
        <f t="shared" si="18"/>
        <v>154.80000000000001</v>
      </c>
      <c r="G155" s="16">
        <f>k!$D$14</f>
        <v>0</v>
      </c>
      <c r="H155" s="16">
        <f>G155*F155</f>
        <v>0</v>
      </c>
    </row>
    <row r="157" spans="3:8" x14ac:dyDescent="0.25">
      <c r="C157" s="19" t="str">
        <f>k!$A$2</f>
        <v>CD</v>
      </c>
      <c r="D157" s="19" t="str">
        <f>k!$B$2</f>
        <v>COSTO DIRECTO</v>
      </c>
      <c r="E157" s="20"/>
      <c r="F157" s="21"/>
      <c r="G157" s="21"/>
      <c r="H157" s="21"/>
    </row>
    <row r="158" spans="3:8" x14ac:dyDescent="0.25">
      <c r="C158" s="19" t="str">
        <f>k!$A$3</f>
        <v>IO</v>
      </c>
      <c r="D158" s="19" t="str">
        <f>k!$B$3</f>
        <v>INDIRECTOS OFICINA</v>
      </c>
      <c r="E158" s="20"/>
      <c r="F158" s="22">
        <f>SUM(H145:H155)</f>
        <v>410.97</v>
      </c>
      <c r="G158" s="23">
        <f>k!$D$3</f>
        <v>0.15</v>
      </c>
      <c r="H158" s="19">
        <f>G158*F158</f>
        <v>61.65</v>
      </c>
    </row>
    <row r="159" spans="3:8" x14ac:dyDescent="0.25">
      <c r="C159" s="19" t="str">
        <f>k!$A$4</f>
        <v>IC</v>
      </c>
      <c r="D159" s="19" t="str">
        <f>k!$B$4</f>
        <v>INDIRECTOS DE CAMPO</v>
      </c>
      <c r="E159" s="20"/>
      <c r="F159" s="19">
        <f>F158</f>
        <v>410.97</v>
      </c>
      <c r="G159" s="23">
        <f>k!$D$4</f>
        <v>0.2</v>
      </c>
      <c r="H159" s="19">
        <f>G159*F159</f>
        <v>82.19</v>
      </c>
    </row>
    <row r="160" spans="3:8" x14ac:dyDescent="0.25">
      <c r="C160" s="19" t="str">
        <f>k!$A$5</f>
        <v>FI</v>
      </c>
      <c r="D160" s="19" t="str">
        <f>k!$B$5</f>
        <v>FINANCIAMIENTO</v>
      </c>
      <c r="E160" s="20"/>
      <c r="F160" s="19">
        <f>F159+H158+H159</f>
        <v>554.80999999999995</v>
      </c>
      <c r="G160" s="23">
        <f>k!$D$5</f>
        <v>5.5999999999999999E-3</v>
      </c>
      <c r="H160" s="19">
        <f>G160*F160</f>
        <v>3.11</v>
      </c>
    </row>
    <row r="161" spans="1:8" x14ac:dyDescent="0.25">
      <c r="C161" s="19" t="str">
        <f>k!$A$6</f>
        <v>UT</v>
      </c>
      <c r="D161" s="19" t="str">
        <f>k!$B$6</f>
        <v>UTILIDAD</v>
      </c>
      <c r="E161" s="20"/>
      <c r="F161" s="19">
        <f>F160+H160</f>
        <v>557.91999999999996</v>
      </c>
      <c r="G161" s="23">
        <f>k!$D$6</f>
        <v>0.1</v>
      </c>
      <c r="H161" s="19">
        <f>G161*F161</f>
        <v>55.79</v>
      </c>
    </row>
    <row r="162" spans="1:8" x14ac:dyDescent="0.25">
      <c r="C162" s="19" t="str">
        <f>k!$A$7</f>
        <v>CA</v>
      </c>
      <c r="D162" s="19" t="str">
        <f>k!$B$7</f>
        <v>CARGOS ADICIONALES</v>
      </c>
      <c r="E162" s="20"/>
      <c r="F162" s="19">
        <f>(F161+H161)/(1-G162)</f>
        <v>613.71</v>
      </c>
      <c r="G162" s="23">
        <f>k!$D$7</f>
        <v>0</v>
      </c>
      <c r="H162" s="19">
        <f>G162*F162</f>
        <v>0</v>
      </c>
    </row>
    <row r="163" spans="1:8" x14ac:dyDescent="0.25">
      <c r="A163" s="6"/>
      <c r="B163" s="6"/>
      <c r="C163" s="24" t="str">
        <f>k!$A$8</f>
        <v>PU</v>
      </c>
      <c r="D163" s="24" t="str">
        <f>k!$B$8</f>
        <v>PRECIO UNITARIO</v>
      </c>
      <c r="E163" s="25"/>
      <c r="F163" s="24"/>
      <c r="G163" s="26"/>
      <c r="H163" s="24">
        <f>SUM(H158:H162)+F158</f>
        <v>613.71</v>
      </c>
    </row>
    <row r="166" spans="1:8" ht="31.5" customHeight="1" x14ac:dyDescent="0.25">
      <c r="A166" s="10" t="s">
        <v>558</v>
      </c>
      <c r="B166" s="49" t="s">
        <v>559</v>
      </c>
      <c r="C166" s="49"/>
      <c r="D166" s="49"/>
      <c r="E166" s="13" t="s">
        <v>50</v>
      </c>
      <c r="F166" s="10"/>
      <c r="G166" s="10"/>
      <c r="H166" s="10">
        <f>H186</f>
        <v>613.71</v>
      </c>
    </row>
    <row r="168" spans="1:8" x14ac:dyDescent="0.25">
      <c r="C168" s="1" t="s">
        <v>562</v>
      </c>
      <c r="D168" s="4" t="str" cm="1">
        <f t="array" ref="D168:F168">IFERROR(VLOOKUP(C168,MA!$A$6:$D$26,{2,3,4},0),IFERROR(VLOOKUP(C168,MO!$A$6:$D$26,{2,3,4},0),IFERROR(VLOOKUP(C168,MQ!$A$6:$D$26,{2,3,4},0),IFERROR(VLOOKUP(C168,BA!$A$6:$H$185,{2,5,8},0),{"No encontrado","X","X"}))))</f>
        <v>TABIQUE ROJO RECOCIDO 7x14x28</v>
      </c>
      <c r="E168" s="12" t="str">
        <v>Millar</v>
      </c>
      <c r="F168" s="4">
        <v>3000</v>
      </c>
      <c r="G168" s="40">
        <f>(1/(0.29*0.08))*1.03/1000</f>
        <v>4.4400000000000002E-2</v>
      </c>
      <c r="H168" s="4">
        <f t="shared" ref="H168:H169" si="19">G168*F168</f>
        <v>133.19999999999999</v>
      </c>
    </row>
    <row r="169" spans="1:8" x14ac:dyDescent="0.25">
      <c r="C169" s="1" t="s">
        <v>60</v>
      </c>
      <c r="D169" s="4" t="str" cm="1">
        <f t="array" ref="D169:F169">IFERROR(VLOOKUP(C169,MA!$A$6:$D$26,{2,3,4},0),IFERROR(VLOOKUP(C169,MO!$A$6:$D$26,{2,3,4},0),IFERROR(VLOOKUP(C169,MQ!$A$6:$D$26,{2,3,4},0),IFERROR(VLOOKUP(C169,BA!$A$6:$H$185,{2,5,8},0),{"No encontrado","X","X"}))))</f>
        <v>MORTERO CEMENTO-ARENA 1:5</v>
      </c>
      <c r="E169" s="12" t="str">
        <v>m3</v>
      </c>
      <c r="F169" s="4">
        <v>2752.69</v>
      </c>
      <c r="G169" s="40">
        <f>(1.05*0.15)-44*(0.07*0.14*0.28)</f>
        <v>3.6799999999999999E-2</v>
      </c>
      <c r="H169" s="4">
        <f t="shared" si="19"/>
        <v>101.3</v>
      </c>
    </row>
    <row r="170" spans="1:8" x14ac:dyDescent="0.25">
      <c r="D170" s="4"/>
    </row>
    <row r="171" spans="1:8" x14ac:dyDescent="0.25">
      <c r="C171" s="1" t="s">
        <v>8</v>
      </c>
      <c r="D171" s="4" t="str" cm="1">
        <f t="array" ref="D171:F171">IFERROR(VLOOKUP(C171,MA!$A$6:$D$26,{2,3,4},0),IFERROR(VLOOKUP(C171,MO!$A$6:$D$26,{2,3,4},0),IFERROR(VLOOKUP(C171,MQ!$A$6:$D$26,{2,3,4},0),IFERROR(VLOOKUP(C171,BA!$A$6:$H$185,{2,5,8},0),{"No encontrado","X","X"}))))</f>
        <v>ALBAÑIL, OFICIAL</v>
      </c>
      <c r="E171" s="12" t="str">
        <v>JOR</v>
      </c>
      <c r="F171" s="4">
        <v>879.73</v>
      </c>
      <c r="G171" s="1">
        <f>1/10</f>
        <v>0.1</v>
      </c>
      <c r="H171" s="4">
        <f t="shared" ref="H171:H172" si="20">G171*F171</f>
        <v>87.97</v>
      </c>
    </row>
    <row r="172" spans="1:8" x14ac:dyDescent="0.25">
      <c r="C172" s="1" t="s">
        <v>11</v>
      </c>
      <c r="D172" s="4" t="str" cm="1">
        <f t="array" ref="D172:F172">IFERROR(VLOOKUP(C172,MA!$A$6:$D$26,{2,3,4},0),IFERROR(VLOOKUP(C172,MO!$A$6:$D$26,{2,3,4},0),IFERROR(VLOOKUP(C172,MQ!$A$6:$D$26,{2,3,4},0),IFERROR(VLOOKUP(C172,BA!$A$6:$H$185,{2,5,8},0),{"No encontrado","X","X"}))))</f>
        <v xml:space="preserve">AYUDANTE GENERAL </v>
      </c>
      <c r="E172" s="12" t="str">
        <v>JOR</v>
      </c>
      <c r="F172" s="4">
        <v>668.33</v>
      </c>
      <c r="G172" s="1">
        <f>1/10</f>
        <v>0.1</v>
      </c>
      <c r="H172" s="4">
        <f t="shared" si="20"/>
        <v>66.83</v>
      </c>
    </row>
    <row r="174" spans="1:8" x14ac:dyDescent="0.25">
      <c r="C174" s="15" t="str">
        <f>k!$A$10</f>
        <v>HE001</v>
      </c>
      <c r="D174" s="16" t="str">
        <f>k!$B$10</f>
        <v>HERRAMIENTA MENOR</v>
      </c>
      <c r="E174" s="17" t="s">
        <v>33</v>
      </c>
      <c r="F174" s="18">
        <f>SUM(H171:H172)</f>
        <v>154.80000000000001</v>
      </c>
      <c r="G174" s="16">
        <f>k!$D$10</f>
        <v>0.03</v>
      </c>
      <c r="H174" s="16">
        <f>G174*F174</f>
        <v>4.6399999999999997</v>
      </c>
    </row>
    <row r="175" spans="1:8" x14ac:dyDescent="0.25">
      <c r="C175" s="15" t="str">
        <f>k!$A$11</f>
        <v>HE002</v>
      </c>
      <c r="D175" s="16" t="str">
        <f>k!$B$11</f>
        <v>MANDO INTERMEDIO</v>
      </c>
      <c r="E175" s="17" t="s">
        <v>33</v>
      </c>
      <c r="F175" s="16">
        <f>F174</f>
        <v>154.80000000000001</v>
      </c>
      <c r="G175" s="16">
        <f>k!$D$11</f>
        <v>0.1</v>
      </c>
      <c r="H175" s="16">
        <f>G175*F175</f>
        <v>15.48</v>
      </c>
    </row>
    <row r="176" spans="1:8" x14ac:dyDescent="0.25">
      <c r="C176" s="15" t="str">
        <f>k!$A$12</f>
        <v>HE003</v>
      </c>
      <c r="D176" s="16" t="str">
        <f>k!$B$12</f>
        <v>EQUIPO DE SEGURIDAD</v>
      </c>
      <c r="E176" s="17" t="s">
        <v>33</v>
      </c>
      <c r="F176" s="16">
        <f t="shared" ref="F176:F178" si="21">F175</f>
        <v>154.80000000000001</v>
      </c>
      <c r="G176" s="16">
        <f>k!$D$12</f>
        <v>0.01</v>
      </c>
      <c r="H176" s="16">
        <f>G176*F176</f>
        <v>1.55</v>
      </c>
    </row>
    <row r="177" spans="1:8" x14ac:dyDescent="0.25">
      <c r="C177" s="15" t="str">
        <f>k!$A$13</f>
        <v>HE004</v>
      </c>
      <c r="D177" s="16" t="str">
        <f>k!$B$13</f>
        <v>PRESTACIONES S.S.</v>
      </c>
      <c r="E177" s="17" t="s">
        <v>33</v>
      </c>
      <c r="F177" s="16">
        <f t="shared" si="21"/>
        <v>154.80000000000001</v>
      </c>
      <c r="G177" s="16">
        <f>k!$D$13</f>
        <v>0</v>
      </c>
      <c r="H177" s="16">
        <f>G177*F177</f>
        <v>0</v>
      </c>
    </row>
    <row r="178" spans="1:8" x14ac:dyDescent="0.25">
      <c r="C178" s="15" t="str">
        <f>k!$A$14</f>
        <v>HE005</v>
      </c>
      <c r="D178" s="16" t="str">
        <f>k!$B$14</f>
        <v>IMPUESTO SOBRE NOMINA</v>
      </c>
      <c r="E178" s="17" t="s">
        <v>33</v>
      </c>
      <c r="F178" s="16">
        <f t="shared" si="21"/>
        <v>154.80000000000001</v>
      </c>
      <c r="G178" s="16">
        <f>k!$D$14</f>
        <v>0</v>
      </c>
      <c r="H178" s="16">
        <f>G178*F178</f>
        <v>0</v>
      </c>
    </row>
    <row r="180" spans="1:8" x14ac:dyDescent="0.25">
      <c r="C180" s="19" t="str">
        <f>k!$A$2</f>
        <v>CD</v>
      </c>
      <c r="D180" s="19" t="str">
        <f>k!$B$2</f>
        <v>COSTO DIRECTO</v>
      </c>
      <c r="E180" s="20"/>
      <c r="F180" s="21"/>
      <c r="G180" s="21"/>
      <c r="H180" s="21"/>
    </row>
    <row r="181" spans="1:8" x14ac:dyDescent="0.25">
      <c r="C181" s="19" t="str">
        <f>k!$A$3</f>
        <v>IO</v>
      </c>
      <c r="D181" s="19" t="str">
        <f>k!$B$3</f>
        <v>INDIRECTOS OFICINA</v>
      </c>
      <c r="E181" s="20"/>
      <c r="F181" s="22">
        <f>SUM(H168:H178)</f>
        <v>410.97</v>
      </c>
      <c r="G181" s="23">
        <f>k!$D$3</f>
        <v>0.15</v>
      </c>
      <c r="H181" s="19">
        <f>G181*F181</f>
        <v>61.65</v>
      </c>
    </row>
    <row r="182" spans="1:8" x14ac:dyDescent="0.25">
      <c r="C182" s="19" t="str">
        <f>k!$A$4</f>
        <v>IC</v>
      </c>
      <c r="D182" s="19" t="str">
        <f>k!$B$4</f>
        <v>INDIRECTOS DE CAMPO</v>
      </c>
      <c r="E182" s="20"/>
      <c r="F182" s="19">
        <f>F181</f>
        <v>410.97</v>
      </c>
      <c r="G182" s="23">
        <f>k!$D$4</f>
        <v>0.2</v>
      </c>
      <c r="H182" s="19">
        <f>G182*F182</f>
        <v>82.19</v>
      </c>
    </row>
    <row r="183" spans="1:8" x14ac:dyDescent="0.25">
      <c r="C183" s="19" t="str">
        <f>k!$A$5</f>
        <v>FI</v>
      </c>
      <c r="D183" s="19" t="str">
        <f>k!$B$5</f>
        <v>FINANCIAMIENTO</v>
      </c>
      <c r="E183" s="20"/>
      <c r="F183" s="19">
        <f>F182+H181+H182</f>
        <v>554.80999999999995</v>
      </c>
      <c r="G183" s="23">
        <f>k!$D$5</f>
        <v>5.5999999999999999E-3</v>
      </c>
      <c r="H183" s="19">
        <f>G183*F183</f>
        <v>3.11</v>
      </c>
    </row>
    <row r="184" spans="1:8" x14ac:dyDescent="0.25">
      <c r="C184" s="19" t="str">
        <f>k!$A$6</f>
        <v>UT</v>
      </c>
      <c r="D184" s="19" t="str">
        <f>k!$B$6</f>
        <v>UTILIDAD</v>
      </c>
      <c r="E184" s="20"/>
      <c r="F184" s="19">
        <f>F183+H183</f>
        <v>557.91999999999996</v>
      </c>
      <c r="G184" s="23">
        <f>k!$D$6</f>
        <v>0.1</v>
      </c>
      <c r="H184" s="19">
        <f>G184*F184</f>
        <v>55.79</v>
      </c>
    </row>
    <row r="185" spans="1:8" x14ac:dyDescent="0.25">
      <c r="C185" s="19" t="str">
        <f>k!$A$7</f>
        <v>CA</v>
      </c>
      <c r="D185" s="19" t="str">
        <f>k!$B$7</f>
        <v>CARGOS ADICIONALES</v>
      </c>
      <c r="E185" s="20"/>
      <c r="F185" s="19">
        <f>(F184+H184)/(1-G185)</f>
        <v>613.71</v>
      </c>
      <c r="G185" s="23">
        <f>k!$D$7</f>
        <v>0</v>
      </c>
      <c r="H185" s="19">
        <f>G185*F185</f>
        <v>0</v>
      </c>
    </row>
    <row r="186" spans="1:8" x14ac:dyDescent="0.25">
      <c r="A186" s="6"/>
      <c r="B186" s="6"/>
      <c r="C186" s="24" t="str">
        <f>k!$A$8</f>
        <v>PU</v>
      </c>
      <c r="D186" s="24" t="str">
        <f>k!$B$8</f>
        <v>PRECIO UNITARIO</v>
      </c>
      <c r="E186" s="25"/>
      <c r="F186" s="24"/>
      <c r="G186" s="26"/>
      <c r="H186" s="24">
        <f>SUM(H181:H185)+F181</f>
        <v>613.71</v>
      </c>
    </row>
    <row r="188" spans="1:8" ht="31.5" customHeight="1" x14ac:dyDescent="0.25">
      <c r="A188" s="10" t="s">
        <v>563</v>
      </c>
      <c r="B188" s="49" t="s">
        <v>564</v>
      </c>
      <c r="C188" s="49"/>
      <c r="D188" s="49"/>
      <c r="E188" s="13" t="s">
        <v>50</v>
      </c>
      <c r="F188" s="10"/>
      <c r="G188" s="10"/>
      <c r="H188" s="10">
        <f>H207</f>
        <v>354.12</v>
      </c>
    </row>
    <row r="190" spans="1:8" x14ac:dyDescent="0.25">
      <c r="C190" s="1" t="s">
        <v>566</v>
      </c>
      <c r="D190" s="4" t="str" cm="1">
        <f t="array" ref="D190:F190">IFERROR(VLOOKUP(C190,MA!$A$6:$D$26,{2,3,4},0),IFERROR(VLOOKUP(C190,MO!$A$6:$D$26,{2,3,4},0),IFERROR(VLOOKUP(C190,MQ!$A$6:$D$26,{2,3,4},0),IFERROR(VLOOKUP(C190,BA!$A$6:$H$185,{2,5,8},0),{"No encontrado","X","X"}))))</f>
        <v>MORTERO YESO-AGUA</v>
      </c>
      <c r="E190" s="12" t="str">
        <v>M3</v>
      </c>
      <c r="F190" s="4">
        <v>6834.47</v>
      </c>
      <c r="G190" s="40">
        <v>1.4999999999999999E-2</v>
      </c>
      <c r="H190" s="4">
        <f t="shared" ref="H190" si="22">G190*F190</f>
        <v>102.52</v>
      </c>
    </row>
    <row r="191" spans="1:8" x14ac:dyDescent="0.25">
      <c r="D191" s="4"/>
    </row>
    <row r="192" spans="1:8" x14ac:dyDescent="0.25">
      <c r="C192" s="1" t="s">
        <v>530</v>
      </c>
      <c r="D192" s="4" t="str" cm="1">
        <f t="array" ref="D192:F192">IFERROR(VLOOKUP(C192,MA!$A$6:$D$26,{2,3,4},0),IFERROR(VLOOKUP(C192,MO!$A$6:$D$26,{2,3,4},0),IFERROR(VLOOKUP(C192,MQ!$A$6:$D$26,{2,3,4},0),IFERROR(VLOOKUP(C192,BA!$A$6:$H$185,{2,5,8},0),{"No encontrado","X","X"}))))</f>
        <v>YESERO, OFICIAL</v>
      </c>
      <c r="E192" s="12" t="str">
        <v>JOR</v>
      </c>
      <c r="F192" s="4">
        <v>1018.77</v>
      </c>
      <c r="G192" s="1">
        <f>1/15</f>
        <v>7.0000000000000007E-2</v>
      </c>
      <c r="H192" s="4">
        <f t="shared" ref="H192:H193" si="23">G192*F192</f>
        <v>71.31</v>
      </c>
    </row>
    <row r="193" spans="1:8" x14ac:dyDescent="0.25">
      <c r="C193" s="1" t="s">
        <v>11</v>
      </c>
      <c r="D193" s="4" t="str" cm="1">
        <f t="array" ref="D193:F193">IFERROR(VLOOKUP(C193,MA!$A$6:$D$26,{2,3,4},0),IFERROR(VLOOKUP(C193,MO!$A$6:$D$26,{2,3,4},0),IFERROR(VLOOKUP(C193,MQ!$A$6:$D$26,{2,3,4},0),IFERROR(VLOOKUP(C193,BA!$A$6:$H$185,{2,5,8},0),{"No encontrado","X","X"}))))</f>
        <v xml:space="preserve">AYUDANTE GENERAL </v>
      </c>
      <c r="E193" s="12" t="str">
        <v>JOR</v>
      </c>
      <c r="F193" s="4">
        <v>668.33</v>
      </c>
      <c r="G193" s="1">
        <f>1/15</f>
        <v>7.0000000000000007E-2</v>
      </c>
      <c r="H193" s="4">
        <f t="shared" si="23"/>
        <v>46.78</v>
      </c>
    </row>
    <row r="195" spans="1:8" x14ac:dyDescent="0.25">
      <c r="C195" s="15" t="str">
        <f>k!$A$10</f>
        <v>HE001</v>
      </c>
      <c r="D195" s="16" t="str">
        <f>k!$B$10</f>
        <v>HERRAMIENTA MENOR</v>
      </c>
      <c r="E195" s="17" t="s">
        <v>33</v>
      </c>
      <c r="F195" s="18">
        <f>SUM(H192:H193)</f>
        <v>118.09</v>
      </c>
      <c r="G195" s="16">
        <f>k!$D$10</f>
        <v>0.03</v>
      </c>
      <c r="H195" s="16">
        <f>G195*F195</f>
        <v>3.54</v>
      </c>
    </row>
    <row r="196" spans="1:8" x14ac:dyDescent="0.25">
      <c r="C196" s="15" t="str">
        <f>k!$A$11</f>
        <v>HE002</v>
      </c>
      <c r="D196" s="16" t="str">
        <f>k!$B$11</f>
        <v>MANDO INTERMEDIO</v>
      </c>
      <c r="E196" s="17" t="s">
        <v>33</v>
      </c>
      <c r="F196" s="16">
        <f>F195</f>
        <v>118.09</v>
      </c>
      <c r="G196" s="16">
        <f>k!$D$11</f>
        <v>0.1</v>
      </c>
      <c r="H196" s="16">
        <f>G196*F196</f>
        <v>11.81</v>
      </c>
    </row>
    <row r="197" spans="1:8" x14ac:dyDescent="0.25">
      <c r="C197" s="15" t="str">
        <f>k!$A$12</f>
        <v>HE003</v>
      </c>
      <c r="D197" s="16" t="str">
        <f>k!$B$12</f>
        <v>EQUIPO DE SEGURIDAD</v>
      </c>
      <c r="E197" s="17" t="s">
        <v>33</v>
      </c>
      <c r="F197" s="16">
        <f t="shared" ref="F197:F199" si="24">F196</f>
        <v>118.09</v>
      </c>
      <c r="G197" s="16">
        <f>k!$D$12</f>
        <v>0.01</v>
      </c>
      <c r="H197" s="16">
        <f>G197*F197</f>
        <v>1.18</v>
      </c>
    </row>
    <row r="198" spans="1:8" x14ac:dyDescent="0.25">
      <c r="C198" s="15" t="str">
        <f>k!$A$13</f>
        <v>HE004</v>
      </c>
      <c r="D198" s="16" t="str">
        <f>k!$B$13</f>
        <v>PRESTACIONES S.S.</v>
      </c>
      <c r="E198" s="17" t="s">
        <v>33</v>
      </c>
      <c r="F198" s="16">
        <f t="shared" si="24"/>
        <v>118.09</v>
      </c>
      <c r="G198" s="16">
        <f>k!$D$13</f>
        <v>0</v>
      </c>
      <c r="H198" s="16">
        <f>G198*F198</f>
        <v>0</v>
      </c>
    </row>
    <row r="199" spans="1:8" x14ac:dyDescent="0.25">
      <c r="C199" s="15" t="str">
        <f>k!$A$14</f>
        <v>HE005</v>
      </c>
      <c r="D199" s="16" t="str">
        <f>k!$B$14</f>
        <v>IMPUESTO SOBRE NOMINA</v>
      </c>
      <c r="E199" s="17" t="s">
        <v>33</v>
      </c>
      <c r="F199" s="16">
        <f t="shared" si="24"/>
        <v>118.09</v>
      </c>
      <c r="G199" s="16">
        <f>k!$D$14</f>
        <v>0</v>
      </c>
      <c r="H199" s="16">
        <f>G199*F199</f>
        <v>0</v>
      </c>
    </row>
    <row r="201" spans="1:8" x14ac:dyDescent="0.25">
      <c r="C201" s="19" t="str">
        <f>k!$A$2</f>
        <v>CD</v>
      </c>
      <c r="D201" s="19" t="str">
        <f>k!$B$2</f>
        <v>COSTO DIRECTO</v>
      </c>
      <c r="E201" s="20"/>
      <c r="F201" s="21"/>
      <c r="G201" s="21"/>
      <c r="H201" s="21"/>
    </row>
    <row r="202" spans="1:8" x14ac:dyDescent="0.25">
      <c r="C202" s="19" t="str">
        <f>k!$A$3</f>
        <v>IO</v>
      </c>
      <c r="D202" s="19" t="str">
        <f>k!$B$3</f>
        <v>INDIRECTOS OFICINA</v>
      </c>
      <c r="E202" s="20"/>
      <c r="F202" s="22">
        <f>SUM(H190:H199)</f>
        <v>237.14</v>
      </c>
      <c r="G202" s="23">
        <f>k!$D$3</f>
        <v>0.15</v>
      </c>
      <c r="H202" s="19">
        <f>G202*F202</f>
        <v>35.57</v>
      </c>
    </row>
    <row r="203" spans="1:8" x14ac:dyDescent="0.25">
      <c r="C203" s="19" t="str">
        <f>k!$A$4</f>
        <v>IC</v>
      </c>
      <c r="D203" s="19" t="str">
        <f>k!$B$4</f>
        <v>INDIRECTOS DE CAMPO</v>
      </c>
      <c r="E203" s="20"/>
      <c r="F203" s="19">
        <f>F202</f>
        <v>237.14</v>
      </c>
      <c r="G203" s="23">
        <f>k!$D$4</f>
        <v>0.2</v>
      </c>
      <c r="H203" s="19">
        <f>G203*F203</f>
        <v>47.43</v>
      </c>
    </row>
    <row r="204" spans="1:8" x14ac:dyDescent="0.25">
      <c r="C204" s="19" t="str">
        <f>k!$A$5</f>
        <v>FI</v>
      </c>
      <c r="D204" s="19" t="str">
        <f>k!$B$5</f>
        <v>FINANCIAMIENTO</v>
      </c>
      <c r="E204" s="20"/>
      <c r="F204" s="19">
        <f>F203+H202+H203</f>
        <v>320.14</v>
      </c>
      <c r="G204" s="23">
        <f>k!$D$5</f>
        <v>5.5999999999999999E-3</v>
      </c>
      <c r="H204" s="19">
        <f>G204*F204</f>
        <v>1.79</v>
      </c>
    </row>
    <row r="205" spans="1:8" x14ac:dyDescent="0.25">
      <c r="C205" s="19" t="str">
        <f>k!$A$6</f>
        <v>UT</v>
      </c>
      <c r="D205" s="19" t="str">
        <f>k!$B$6</f>
        <v>UTILIDAD</v>
      </c>
      <c r="E205" s="20"/>
      <c r="F205" s="19">
        <f>F204+H204</f>
        <v>321.93</v>
      </c>
      <c r="G205" s="23">
        <f>k!$D$6</f>
        <v>0.1</v>
      </c>
      <c r="H205" s="19">
        <f>G205*F205</f>
        <v>32.19</v>
      </c>
    </row>
    <row r="206" spans="1:8" x14ac:dyDescent="0.25">
      <c r="C206" s="19" t="str">
        <f>k!$A$7</f>
        <v>CA</v>
      </c>
      <c r="D206" s="19" t="str">
        <f>k!$B$7</f>
        <v>CARGOS ADICIONALES</v>
      </c>
      <c r="E206" s="20"/>
      <c r="F206" s="19">
        <f>(F205+H205)/(1-G206)</f>
        <v>354.12</v>
      </c>
      <c r="G206" s="23">
        <f>k!$D$7</f>
        <v>0</v>
      </c>
      <c r="H206" s="19">
        <f>G206*F206</f>
        <v>0</v>
      </c>
    </row>
    <row r="207" spans="1:8" x14ac:dyDescent="0.25">
      <c r="A207" s="6"/>
      <c r="B207" s="6"/>
      <c r="C207" s="24" t="str">
        <f>k!$A$8</f>
        <v>PU</v>
      </c>
      <c r="D207" s="24" t="str">
        <f>k!$B$8</f>
        <v>PRECIO UNITARIO</v>
      </c>
      <c r="E207" s="25"/>
      <c r="F207" s="24"/>
      <c r="G207" s="26"/>
      <c r="H207" s="24">
        <f>SUM(H202:H206)+F202</f>
        <v>354.12</v>
      </c>
    </row>
  </sheetData>
  <mergeCells count="7">
    <mergeCell ref="B166:D166"/>
    <mergeCell ref="B188:D188"/>
    <mergeCell ref="B73:D73"/>
    <mergeCell ref="B6:D6"/>
    <mergeCell ref="B95:D95"/>
    <mergeCell ref="B121:D121"/>
    <mergeCell ref="B143:D143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D22" sqref="D22"/>
    </sheetView>
  </sheetViews>
  <sheetFormatPr baseColWidth="10" defaultColWidth="11.5703125" defaultRowHeight="15" x14ac:dyDescent="0.25"/>
  <cols>
    <col min="1" max="1" width="11.5703125" style="1"/>
    <col min="2" max="2" width="37.140625" style="1" customWidth="1"/>
    <col min="3" max="16384" width="11.5703125" style="1"/>
  </cols>
  <sheetData>
    <row r="5" spans="1:4" s="2" customFormat="1" ht="28.15" customHeight="1" thickBot="1" x14ac:dyDescent="0.3">
      <c r="A5" s="31" t="s">
        <v>2</v>
      </c>
      <c r="B5" s="31" t="s">
        <v>3</v>
      </c>
      <c r="C5" s="32" t="s">
        <v>5</v>
      </c>
      <c r="D5" s="31" t="s">
        <v>6</v>
      </c>
    </row>
    <row r="6" spans="1:4" x14ac:dyDescent="0.25">
      <c r="A6" s="1" t="s">
        <v>14</v>
      </c>
      <c r="B6" s="1" t="s">
        <v>14</v>
      </c>
      <c r="C6" s="1" t="s">
        <v>15</v>
      </c>
      <c r="D6" s="1">
        <v>2</v>
      </c>
    </row>
    <row r="7" spans="1:4" x14ac:dyDescent="0.25">
      <c r="A7" s="1" t="s">
        <v>536</v>
      </c>
      <c r="B7" s="1" t="s">
        <v>21</v>
      </c>
      <c r="C7" s="1" t="s">
        <v>22</v>
      </c>
      <c r="D7" s="1">
        <v>10</v>
      </c>
    </row>
    <row r="8" spans="1:4" x14ac:dyDescent="0.25">
      <c r="A8" s="1" t="s">
        <v>35</v>
      </c>
      <c r="B8" s="1" t="s">
        <v>35</v>
      </c>
      <c r="C8" s="1" t="s">
        <v>15</v>
      </c>
      <c r="D8" s="1">
        <v>36</v>
      </c>
    </row>
    <row r="9" spans="1:4" x14ac:dyDescent="0.25">
      <c r="A9" s="1" t="s">
        <v>537</v>
      </c>
      <c r="B9" s="1" t="s">
        <v>59</v>
      </c>
      <c r="C9" s="1" t="s">
        <v>57</v>
      </c>
      <c r="D9" s="1">
        <v>450</v>
      </c>
    </row>
    <row r="10" spans="1:4" x14ac:dyDescent="0.25">
      <c r="A10" s="1" t="s">
        <v>538</v>
      </c>
      <c r="B10" s="1" t="s">
        <v>63</v>
      </c>
      <c r="C10" s="1" t="s">
        <v>64</v>
      </c>
      <c r="D10" s="1">
        <v>2500</v>
      </c>
    </row>
    <row r="11" spans="1:4" x14ac:dyDescent="0.25">
      <c r="A11" s="1" t="s">
        <v>539</v>
      </c>
      <c r="B11" s="1" t="s">
        <v>66</v>
      </c>
      <c r="C11" s="1" t="s">
        <v>57</v>
      </c>
      <c r="D11" s="1">
        <v>500</v>
      </c>
    </row>
    <row r="12" spans="1:4" x14ac:dyDescent="0.25">
      <c r="A12" s="1" t="s">
        <v>68</v>
      </c>
      <c r="B12" s="1" t="s">
        <v>540</v>
      </c>
      <c r="C12" s="1" t="s">
        <v>57</v>
      </c>
      <c r="D12" s="1">
        <v>20</v>
      </c>
    </row>
    <row r="13" spans="1:4" x14ac:dyDescent="0.25">
      <c r="A13" s="1" t="s">
        <v>541</v>
      </c>
      <c r="B13" s="1" t="s">
        <v>80</v>
      </c>
      <c r="C13" s="1" t="s">
        <v>57</v>
      </c>
      <c r="D13" s="1">
        <v>600</v>
      </c>
    </row>
    <row r="14" spans="1:4" x14ac:dyDescent="0.25">
      <c r="A14" s="1" t="s">
        <v>542</v>
      </c>
      <c r="B14" s="1" t="s">
        <v>84</v>
      </c>
      <c r="C14" s="1" t="s">
        <v>15</v>
      </c>
      <c r="D14" s="1">
        <v>18</v>
      </c>
    </row>
    <row r="15" spans="1:4" x14ac:dyDescent="0.25">
      <c r="A15" s="1" t="s">
        <v>543</v>
      </c>
      <c r="B15" s="1" t="s">
        <v>86</v>
      </c>
      <c r="C15" s="1" t="s">
        <v>15</v>
      </c>
      <c r="D15" s="1">
        <v>22</v>
      </c>
    </row>
    <row r="16" spans="1:4" x14ac:dyDescent="0.25">
      <c r="A16" s="1" t="s">
        <v>544</v>
      </c>
      <c r="B16" s="1" t="s">
        <v>88</v>
      </c>
      <c r="C16" s="1" t="s">
        <v>89</v>
      </c>
      <c r="D16" s="1">
        <v>45</v>
      </c>
    </row>
    <row r="17" spans="1:4" x14ac:dyDescent="0.25">
      <c r="A17" s="1" t="s">
        <v>549</v>
      </c>
      <c r="B17" s="1" t="s">
        <v>550</v>
      </c>
      <c r="C17" s="1" t="s">
        <v>89</v>
      </c>
      <c r="D17" s="1">
        <f>(2154/1.16)/19</f>
        <v>97.73</v>
      </c>
    </row>
    <row r="18" spans="1:4" x14ac:dyDescent="0.25">
      <c r="A18" s="1" t="s">
        <v>552</v>
      </c>
      <c r="B18" s="1" t="s">
        <v>551</v>
      </c>
      <c r="C18" s="1" t="s">
        <v>15</v>
      </c>
      <c r="D18" s="1">
        <v>16</v>
      </c>
    </row>
    <row r="19" spans="1:4" x14ac:dyDescent="0.25">
      <c r="A19" s="1" t="s">
        <v>556</v>
      </c>
      <c r="B19" s="1" t="s">
        <v>557</v>
      </c>
      <c r="C19" s="1" t="s">
        <v>89</v>
      </c>
      <c r="D19" s="1">
        <f>148/1.16</f>
        <v>127.59</v>
      </c>
    </row>
    <row r="20" spans="1:4" x14ac:dyDescent="0.25">
      <c r="A20" s="1" t="s">
        <v>562</v>
      </c>
      <c r="B20" s="1" t="s">
        <v>560</v>
      </c>
      <c r="C20" s="1" t="s">
        <v>561</v>
      </c>
      <c r="D20" s="1">
        <f>3480/1.16</f>
        <v>3000</v>
      </c>
    </row>
    <row r="21" spans="1:4" x14ac:dyDescent="0.25">
      <c r="A21" s="1" t="s">
        <v>565</v>
      </c>
      <c r="B21" s="1" t="s">
        <v>568</v>
      </c>
      <c r="C21" s="1" t="s">
        <v>64</v>
      </c>
      <c r="D21" s="1">
        <v>4200</v>
      </c>
    </row>
    <row r="26" spans="1:4" x14ac:dyDescent="0.25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A21" sqref="A21"/>
    </sheetView>
  </sheetViews>
  <sheetFormatPr baseColWidth="10" defaultColWidth="11.5703125" defaultRowHeight="15" x14ac:dyDescent="0.25"/>
  <cols>
    <col min="1" max="1" width="11.5703125" style="1"/>
    <col min="2" max="2" width="36.140625" style="1" customWidth="1"/>
    <col min="3" max="16384" width="11.5703125" style="1"/>
  </cols>
  <sheetData>
    <row r="5" spans="1:4" s="2" customFormat="1" ht="28.15" customHeight="1" x14ac:dyDescent="0.25">
      <c r="A5" s="2" t="s">
        <v>7</v>
      </c>
      <c r="B5" s="2" t="s">
        <v>3</v>
      </c>
      <c r="C5" s="2" t="s">
        <v>5</v>
      </c>
      <c r="D5" s="2" t="s">
        <v>6</v>
      </c>
    </row>
    <row r="6" spans="1:4" x14ac:dyDescent="0.25">
      <c r="A6" s="1" t="s">
        <v>8</v>
      </c>
      <c r="B6" s="1" t="s">
        <v>506</v>
      </c>
      <c r="C6" s="1" t="s">
        <v>10</v>
      </c>
      <c r="D6" s="1">
        <v>879.73</v>
      </c>
    </row>
    <row r="7" spans="1:4" x14ac:dyDescent="0.25">
      <c r="A7" s="1" t="s">
        <v>11</v>
      </c>
      <c r="B7" s="1" t="s">
        <v>531</v>
      </c>
      <c r="C7" s="1" t="s">
        <v>10</v>
      </c>
      <c r="D7" s="1">
        <v>668.33</v>
      </c>
    </row>
    <row r="8" spans="1:4" x14ac:dyDescent="0.25">
      <c r="A8" s="1" t="s">
        <v>12</v>
      </c>
      <c r="B8" s="1" t="s">
        <v>507</v>
      </c>
      <c r="C8" s="1" t="s">
        <v>10</v>
      </c>
      <c r="D8" s="1">
        <v>930.82</v>
      </c>
    </row>
    <row r="9" spans="1:4" x14ac:dyDescent="0.25">
      <c r="A9" s="1" t="s">
        <v>13</v>
      </c>
      <c r="B9" s="1" t="s">
        <v>508</v>
      </c>
      <c r="C9" s="1" t="s">
        <v>10</v>
      </c>
      <c r="D9" s="1">
        <v>949.25</v>
      </c>
    </row>
    <row r="10" spans="1:4" x14ac:dyDescent="0.25">
      <c r="A10" s="1" t="s">
        <v>519</v>
      </c>
      <c r="B10" s="1" t="s">
        <v>509</v>
      </c>
      <c r="C10" s="1" t="s">
        <v>10</v>
      </c>
      <c r="D10" s="1">
        <v>821.23</v>
      </c>
    </row>
    <row r="11" spans="1:4" x14ac:dyDescent="0.25">
      <c r="A11" s="1" t="s">
        <v>520</v>
      </c>
      <c r="B11" s="1" t="s">
        <v>510</v>
      </c>
      <c r="C11" s="1" t="s">
        <v>10</v>
      </c>
      <c r="D11" s="1">
        <v>930.82</v>
      </c>
    </row>
    <row r="12" spans="1:4" x14ac:dyDescent="0.25">
      <c r="A12" s="1" t="s">
        <v>521</v>
      </c>
      <c r="B12" s="1" t="s">
        <v>511</v>
      </c>
      <c r="C12" s="1" t="s">
        <v>10</v>
      </c>
      <c r="D12" s="1">
        <v>670.82</v>
      </c>
    </row>
    <row r="13" spans="1:4" x14ac:dyDescent="0.25">
      <c r="A13" s="1" t="s">
        <v>522</v>
      </c>
      <c r="B13" s="1" t="s">
        <v>532</v>
      </c>
      <c r="C13" s="1" t="s">
        <v>10</v>
      </c>
      <c r="D13" s="1">
        <v>949.25</v>
      </c>
    </row>
    <row r="14" spans="1:4" x14ac:dyDescent="0.25">
      <c r="A14" s="1" t="s">
        <v>523</v>
      </c>
      <c r="B14" s="1" t="s">
        <v>512</v>
      </c>
      <c r="C14" s="1" t="s">
        <v>10</v>
      </c>
      <c r="D14" s="1">
        <v>986.37</v>
      </c>
    </row>
    <row r="15" spans="1:4" x14ac:dyDescent="0.25">
      <c r="A15" s="1" t="s">
        <v>524</v>
      </c>
      <c r="B15" s="1" t="s">
        <v>513</v>
      </c>
      <c r="C15" s="1" t="s">
        <v>10</v>
      </c>
      <c r="D15" s="1">
        <v>1066.05</v>
      </c>
    </row>
    <row r="16" spans="1:4" x14ac:dyDescent="0.25">
      <c r="A16" s="1" t="s">
        <v>525</v>
      </c>
      <c r="B16" s="1" t="s">
        <v>514</v>
      </c>
      <c r="C16" s="1" t="s">
        <v>10</v>
      </c>
      <c r="D16" s="1">
        <v>1331.37</v>
      </c>
    </row>
    <row r="17" spans="1:4" x14ac:dyDescent="0.25">
      <c r="A17" s="1" t="s">
        <v>526</v>
      </c>
      <c r="B17" s="1" t="s">
        <v>9</v>
      </c>
      <c r="C17" s="1" t="s">
        <v>10</v>
      </c>
      <c r="D17" s="1">
        <v>638.33000000000004</v>
      </c>
    </row>
    <row r="18" spans="1:4" x14ac:dyDescent="0.25">
      <c r="A18" s="1" t="s">
        <v>527</v>
      </c>
      <c r="B18" s="1" t="s">
        <v>515</v>
      </c>
      <c r="C18" s="1" t="s">
        <v>10</v>
      </c>
      <c r="D18" s="1">
        <v>879.7</v>
      </c>
    </row>
    <row r="19" spans="1:4" x14ac:dyDescent="0.25">
      <c r="A19" s="1" t="s">
        <v>528</v>
      </c>
      <c r="B19" s="1" t="s">
        <v>516</v>
      </c>
      <c r="C19" s="1" t="s">
        <v>10</v>
      </c>
      <c r="D19" s="1">
        <v>914.67</v>
      </c>
    </row>
    <row r="20" spans="1:4" x14ac:dyDescent="0.25">
      <c r="A20" s="1" t="s">
        <v>529</v>
      </c>
      <c r="B20" s="1" t="s">
        <v>517</v>
      </c>
      <c r="C20" s="1" t="s">
        <v>10</v>
      </c>
      <c r="D20" s="1">
        <v>705.48</v>
      </c>
    </row>
    <row r="21" spans="1:4" x14ac:dyDescent="0.25">
      <c r="A21" s="1" t="s">
        <v>530</v>
      </c>
      <c r="B21" s="1" t="s">
        <v>518</v>
      </c>
      <c r="C21" s="1" t="s">
        <v>10</v>
      </c>
      <c r="D21" s="1">
        <v>1018.77</v>
      </c>
    </row>
    <row r="22" spans="1:4" x14ac:dyDescent="0.25">
      <c r="A22" s="1" t="s">
        <v>533</v>
      </c>
      <c r="B22" s="1" t="s">
        <v>534</v>
      </c>
      <c r="C22" s="1" t="s">
        <v>10</v>
      </c>
      <c r="D22" s="1">
        <v>1093.26</v>
      </c>
    </row>
    <row r="26" spans="1:4" x14ac:dyDescent="0.25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A7" sqref="A7"/>
    </sheetView>
  </sheetViews>
  <sheetFormatPr baseColWidth="10" defaultColWidth="11.5703125" defaultRowHeight="15" x14ac:dyDescent="0.25"/>
  <cols>
    <col min="1" max="1" width="11.5703125" style="1"/>
    <col min="2" max="2" width="36.140625" style="1" customWidth="1"/>
    <col min="3" max="16384" width="11.5703125" style="1"/>
  </cols>
  <sheetData>
    <row r="2" spans="1:4" x14ac:dyDescent="0.25">
      <c r="C2" s="1" t="s">
        <v>71</v>
      </c>
    </row>
    <row r="5" spans="1:4" s="2" customFormat="1" ht="28.15" customHeight="1" x14ac:dyDescent="0.25">
      <c r="A5" s="2" t="s">
        <v>70</v>
      </c>
      <c r="B5" s="2" t="s">
        <v>3</v>
      </c>
      <c r="C5" s="2" t="s">
        <v>5</v>
      </c>
      <c r="D5" s="2" t="s">
        <v>6</v>
      </c>
    </row>
    <row r="6" spans="1:4" x14ac:dyDescent="0.25">
      <c r="A6" s="1" t="s">
        <v>69</v>
      </c>
      <c r="B6" s="1" t="s">
        <v>73</v>
      </c>
      <c r="C6" s="1" t="s">
        <v>72</v>
      </c>
      <c r="D6" s="1">
        <v>250</v>
      </c>
    </row>
    <row r="26" spans="1:4" x14ac:dyDescent="0.25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85"/>
  <sheetViews>
    <sheetView zoomScale="85" zoomScaleNormal="85" workbookViewId="0">
      <pane xSplit="8" ySplit="5" topLeftCell="I60" activePane="bottomRight" state="frozen"/>
      <selection pane="topRight" activeCell="I1" sqref="I1"/>
      <selection pane="bottomLeft" activeCell="A6" sqref="A6"/>
      <selection pane="bottomRight" activeCell="I70" sqref="I70"/>
    </sheetView>
  </sheetViews>
  <sheetFormatPr baseColWidth="10" defaultColWidth="11.5703125" defaultRowHeight="15" x14ac:dyDescent="0.25"/>
  <cols>
    <col min="1" max="2" width="11.5703125" style="1"/>
    <col min="3" max="3" width="13.42578125" style="1" bestFit="1" customWidth="1"/>
    <col min="4" max="4" width="44" style="1" customWidth="1"/>
    <col min="5" max="5" width="11.5703125" style="9"/>
    <col min="6" max="16384" width="11.5703125" style="1"/>
  </cols>
  <sheetData>
    <row r="2" spans="1:10" x14ac:dyDescent="0.25">
      <c r="E2" s="9" t="s">
        <v>74</v>
      </c>
    </row>
    <row r="5" spans="1:10" s="8" customFormat="1" ht="28.15" customHeight="1" thickBot="1" x14ac:dyDescent="0.3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10" s="10" customFormat="1" ht="47.45" customHeight="1" x14ac:dyDescent="0.25">
      <c r="A6" s="10" t="s">
        <v>60</v>
      </c>
      <c r="B6" s="10" t="s">
        <v>61</v>
      </c>
      <c r="E6" s="13" t="s">
        <v>57</v>
      </c>
      <c r="H6" s="14">
        <f>SUM(H7:H17)</f>
        <v>2752.69</v>
      </c>
    </row>
    <row r="7" spans="1:10" x14ac:dyDescent="0.25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IFERROR(VLOOKUP(C7,MA!$A$6:$D$26,{2,3,4},0),IFERROR(VLOOKUP(C7,MO!$A$6:$D$26,{2,3,4},0),IFERROR(VLOOKUP(C7,MQ!$A$6:$D$26,{2,3,4},0),IFERROR(VLOOKUP(C7,BA!$A$6:$H$185,{2,5,8},0),{"No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10" x14ac:dyDescent="0.25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IFERROR(VLOOKUP(C8,MA!$A$6:$D$26,{2,3,4},0),IFERROR(VLOOKUP(C8,MO!$A$6:$D$26,{2,3,4},0),IFERROR(VLOOKUP(C8,MQ!$A$6:$D$26,{2,3,4},0),IFERROR(VLOOKUP(C8,BA!$A$6:$H$185,{2,5,8},0),{"No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10" x14ac:dyDescent="0.25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IFERROR(VLOOKUP(C9,MA!$A$6:$D$26,{2,3,4},0),IFERROR(VLOOKUP(C9,MO!$A$6:$D$26,{2,3,4},0),IFERROR(VLOOKUP(C9,MQ!$A$6:$D$26,{2,3,4},0),IFERROR(VLOOKUP(C9,BA!$A$6:$H$185,{2,5,8},0),{"No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10" x14ac:dyDescent="0.25">
      <c r="D10" s="4"/>
      <c r="E10" s="12"/>
    </row>
    <row r="11" spans="1:10" x14ac:dyDescent="0.25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IFERROR(VLOOKUP(C11,MA!$A$6:$D$26,{2,3,4},0),IFERROR(VLOOKUP(C11,MO!$A$6:$D$26,{2,3,4},0),IFERROR(VLOOKUP(C11,MQ!$A$6:$D$26,{2,3,4},0),IFERROR(VLOOKUP(C11,BA!$A$6:$H$185,{2,5,8},0),{"No encontrado","X","X"}))))</f>
        <v>PEON</v>
      </c>
      <c r="E11" s="12" t="str">
        <v>JOR</v>
      </c>
      <c r="F11" s="4">
        <v>638.33000000000004</v>
      </c>
      <c r="G11" s="1">
        <f>8/8</f>
        <v>1</v>
      </c>
      <c r="H11" s="4">
        <f>G11*F11</f>
        <v>638.33000000000004</v>
      </c>
      <c r="J11" s="1" t="s">
        <v>545</v>
      </c>
    </row>
    <row r="12" spans="1:10" x14ac:dyDescent="0.25">
      <c r="D12" s="4"/>
      <c r="E12" s="12"/>
    </row>
    <row r="13" spans="1:10" x14ac:dyDescent="0.25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10" x14ac:dyDescent="0.25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10" x14ac:dyDescent="0.25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638.33000000000004</v>
      </c>
      <c r="G15" s="16">
        <f>k!$D$12</f>
        <v>0.01</v>
      </c>
      <c r="H15" s="16">
        <f>G15*F15</f>
        <v>6.38</v>
      </c>
    </row>
    <row r="16" spans="1:10" x14ac:dyDescent="0.25">
      <c r="D16" s="4"/>
      <c r="E16" s="12"/>
      <c r="F16" s="4"/>
      <c r="H16" s="4"/>
    </row>
    <row r="17" spans="1:10" x14ac:dyDescent="0.25">
      <c r="C17" s="1" t="s">
        <v>69</v>
      </c>
      <c r="D17" s="4" t="str" cm="1">
        <f t="array" ref="D17:F17">IFERROR(VLOOKUP(C17,MA!$A$6:$D$26,{2,3,4},0),IFERROR(VLOOKUP(C17,MO!$A$6:$D$26,{2,3,4},0),IFERROR(VLOOKUP(C17,MQ!$A$6:$D$26,{2,3,4},0),IFERROR(VLOOKUP(C17,BA!$A$6:$H$185,{2,5,8},0),{"No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  <c r="J17" s="1" t="s">
        <v>546</v>
      </c>
    </row>
    <row r="21" spans="1:10" s="10" customFormat="1" ht="47.45" customHeight="1" x14ac:dyDescent="0.25">
      <c r="A21" s="10" t="s">
        <v>77</v>
      </c>
      <c r="B21" s="10" t="s">
        <v>78</v>
      </c>
      <c r="E21" s="13" t="s">
        <v>57</v>
      </c>
      <c r="H21" s="14">
        <f>SUM(H22:H33)</f>
        <v>2666.69</v>
      </c>
    </row>
    <row r="22" spans="1:10" x14ac:dyDescent="0.25">
      <c r="C22" s="1" t="s">
        <v>538</v>
      </c>
      <c r="D22" s="4" t="str" cm="1">
        <f t="array" ref="D22:F22">IFERROR(VLOOKUP(C22,MA!$A$6:$D$26,{2,3,4},0),IFERROR(VLOOKUP(C22,MO!$A$6:$D$26,{2,3,4},0),IFERROR(VLOOKUP(C22,MQ!$A$6:$D$26,{2,3,4},0),IFERROR(VLOOKUP(C22,BA!$A$6:$H$185,{2,5,8},0),{"No encontrado","X","X"}))))</f>
        <v>CEMENTO GRIS EN SACO</v>
      </c>
      <c r="E22" s="12" t="str">
        <v>Ton</v>
      </c>
      <c r="F22" s="4">
        <v>2500</v>
      </c>
      <c r="G22" s="1">
        <v>0.41</v>
      </c>
      <c r="H22" s="4">
        <f t="shared" ref="H22:H33" si="1">G22*F22</f>
        <v>1025</v>
      </c>
    </row>
    <row r="23" spans="1:10" x14ac:dyDescent="0.25">
      <c r="C23" s="1" t="s">
        <v>539</v>
      </c>
      <c r="D23" s="4" t="str" cm="1">
        <f t="array" ref="D23:F23">IFERROR(VLOOKUP(C23,MA!$A$6:$D$26,{2,3,4},0),IFERROR(VLOOKUP(C23,MO!$A$6:$D$26,{2,3,4},0),IFERROR(VLOOKUP(C23,MQ!$A$6:$D$26,{2,3,4},0),IFERROR(VLOOKUP(C23,BA!$A$6:$H$185,{2,5,8},0),{"No encontrado","X","X"}))))</f>
        <v>ARENA DE RIO L.A.B. EN OBRA</v>
      </c>
      <c r="E23" s="12" t="str">
        <v>m3</v>
      </c>
      <c r="F23" s="4">
        <v>500</v>
      </c>
      <c r="G23" s="1">
        <v>0.54</v>
      </c>
      <c r="H23" s="4">
        <f t="shared" si="1"/>
        <v>270</v>
      </c>
    </row>
    <row r="24" spans="1:10" x14ac:dyDescent="0.25">
      <c r="C24" s="1" t="s">
        <v>541</v>
      </c>
      <c r="D24" s="4" t="str" cm="1">
        <f t="array" ref="D24:F24">IFERROR(VLOOKUP(C24,MA!$A$6:$D$26,{2,3,4},0),IFERROR(VLOOKUP(C24,MO!$A$6:$D$26,{2,3,4},0),IFERROR(VLOOKUP(C24,MQ!$A$6:$D$26,{2,3,4},0),IFERROR(VLOOKUP(C24,BA!$A$6:$H$185,{2,5,8},0),{"No encontrado","X","X"}))))</f>
        <v>GRAVA DE 3/4</v>
      </c>
      <c r="E24" s="12" t="str">
        <v>m3</v>
      </c>
      <c r="F24" s="4">
        <v>600</v>
      </c>
      <c r="G24" s="1">
        <v>0.64</v>
      </c>
      <c r="H24" s="4">
        <f t="shared" si="1"/>
        <v>384</v>
      </c>
    </row>
    <row r="25" spans="1:10" x14ac:dyDescent="0.25">
      <c r="C25" s="1" t="s">
        <v>68</v>
      </c>
      <c r="D25" s="4" t="str" cm="1">
        <f t="array" ref="D25:F25">IFERROR(VLOOKUP(C25,MA!$A$6:$D$26,{2,3,4},0),IFERROR(VLOOKUP(C25,MO!$A$6:$D$26,{2,3,4},0),IFERROR(VLOOKUP(C25,MQ!$A$6:$D$26,{2,3,4},0),IFERROR(VLOOKUP(C25,BA!$A$6:$H$185,{2,5,8},0),{"No encontrado","X","X"}))))</f>
        <v>AGUA EN PIPA</v>
      </c>
      <c r="E25" s="12" t="str">
        <v>m3</v>
      </c>
      <c r="F25" s="4">
        <v>20</v>
      </c>
      <c r="G25" s="1">
        <v>0.5</v>
      </c>
      <c r="H25" s="4">
        <f t="shared" si="1"/>
        <v>10</v>
      </c>
    </row>
    <row r="26" spans="1:10" x14ac:dyDescent="0.25">
      <c r="D26" s="4"/>
      <c r="E26" s="12"/>
      <c r="F26" s="4"/>
      <c r="H26" s="4"/>
    </row>
    <row r="27" spans="1:10" x14ac:dyDescent="0.25">
      <c r="C27" s="1" t="s">
        <v>526</v>
      </c>
      <c r="D27" s="4" t="str" cm="1">
        <f t="array" ref="D27:F27">IFERROR(VLOOKUP(C27,MA!$A$6:$D$26,{2,3,4},0),IFERROR(VLOOKUP(C27,MO!$A$6:$D$26,{2,3,4},0),IFERROR(VLOOKUP(C27,MQ!$A$6:$D$26,{2,3,4},0),IFERROR(VLOOKUP(C27,BA!$A$6:$H$185,{2,5,8},0),{"No encontrado","X","X"}))))</f>
        <v>PEON</v>
      </c>
      <c r="E27" s="12" t="str">
        <v>JOR</v>
      </c>
      <c r="F27" s="4">
        <v>638.33000000000004</v>
      </c>
      <c r="G27" s="1">
        <v>1</v>
      </c>
      <c r="H27" s="4">
        <f t="shared" si="1"/>
        <v>638.33000000000004</v>
      </c>
    </row>
    <row r="28" spans="1:10" x14ac:dyDescent="0.25">
      <c r="D28" s="4"/>
      <c r="E28" s="12"/>
      <c r="F28" s="4"/>
      <c r="H28" s="4"/>
    </row>
    <row r="29" spans="1:10" x14ac:dyDescent="0.25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638.33000000000004</v>
      </c>
      <c r="G29" s="16">
        <f>k!$D$10</f>
        <v>0.03</v>
      </c>
      <c r="H29" s="16">
        <f>G29*F29</f>
        <v>19.149999999999999</v>
      </c>
    </row>
    <row r="30" spans="1:10" x14ac:dyDescent="0.25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638.33000000000004</v>
      </c>
      <c r="G30" s="16">
        <f>k!$D$11</f>
        <v>0.1</v>
      </c>
      <c r="H30" s="16">
        <f>G30*F30</f>
        <v>63.83</v>
      </c>
    </row>
    <row r="31" spans="1:10" x14ac:dyDescent="0.25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638.33000000000004</v>
      </c>
      <c r="G31" s="16">
        <f>k!$D$12</f>
        <v>0.01</v>
      </c>
      <c r="H31" s="16">
        <f>G31*F31</f>
        <v>6.38</v>
      </c>
    </row>
    <row r="32" spans="1:10" x14ac:dyDescent="0.25">
      <c r="D32" s="4"/>
      <c r="E32" s="12"/>
      <c r="F32" s="4"/>
      <c r="H32" s="4"/>
    </row>
    <row r="33" spans="1:8" x14ac:dyDescent="0.25">
      <c r="C33" s="1" t="s">
        <v>69</v>
      </c>
      <c r="D33" s="4" t="str" cm="1">
        <f t="array" ref="D33:F33">IFERROR(VLOOKUP(C33,MA!$A$6:$D$26,{2,3,4},0),IFERROR(VLOOKUP(C33,MO!$A$6:$D$26,{2,3,4},0),IFERROR(VLOOKUP(C33,MQ!$A$6:$D$26,{2,3,4},0),IFERROR(VLOOKUP(C33,BA!$A$6:$H$185,{2,5,8},0),{"No encontrado","X","X"}))))</f>
        <v>REVOLVEDORA 1 SACO</v>
      </c>
      <c r="E33" s="12" t="str">
        <v>Hr</v>
      </c>
      <c r="F33" s="4">
        <v>250</v>
      </c>
      <c r="G33" s="1">
        <v>1</v>
      </c>
      <c r="H33" s="4">
        <f t="shared" si="1"/>
        <v>250</v>
      </c>
    </row>
    <row r="34" spans="1:8" x14ac:dyDescent="0.25">
      <c r="D34" s="4"/>
      <c r="E34" s="12"/>
      <c r="F34" s="4"/>
      <c r="H34" s="4"/>
    </row>
    <row r="35" spans="1:8" x14ac:dyDescent="0.25">
      <c r="D35" s="4"/>
      <c r="E35" s="12"/>
      <c r="F35" s="4"/>
      <c r="H35" s="4"/>
    </row>
    <row r="36" spans="1:8" x14ac:dyDescent="0.25">
      <c r="D36" s="4"/>
      <c r="E36" s="12"/>
      <c r="F36" s="4"/>
      <c r="H36" s="4"/>
    </row>
    <row r="37" spans="1:8" x14ac:dyDescent="0.25">
      <c r="A37" s="10" t="s">
        <v>81</v>
      </c>
      <c r="B37" s="10" t="s">
        <v>547</v>
      </c>
      <c r="C37" s="10"/>
      <c r="D37" s="10"/>
      <c r="E37" s="13" t="s">
        <v>57</v>
      </c>
      <c r="F37" s="10"/>
      <c r="G37" s="10"/>
      <c r="H37" s="14">
        <f>SUM(H38:H49)</f>
        <v>2472.69</v>
      </c>
    </row>
    <row r="38" spans="1:8" x14ac:dyDescent="0.25">
      <c r="C38" s="1" t="s">
        <v>538</v>
      </c>
      <c r="D38" s="4" t="str" cm="1">
        <f t="array" ref="D38:F38">IFERROR(VLOOKUP(C38,MA!$A$6:$D$26,{2,3,4},0),IFERROR(VLOOKUP(C38,MO!$A$6:$D$26,{2,3,4},0),IFERROR(VLOOKUP(C38,MQ!$A$6:$D$26,{2,3,4},0),IFERROR(VLOOKUP(C38,BA!$A$6:$H$185,{2,5,8},0),{"No encontrado","X","X"}))))</f>
        <v>CEMENTO GRIS EN SACO</v>
      </c>
      <c r="E38" s="12" t="str">
        <v>Ton</v>
      </c>
      <c r="F38" s="4">
        <v>2500</v>
      </c>
      <c r="G38" s="1">
        <v>0.33</v>
      </c>
      <c r="H38" s="4">
        <f t="shared" ref="H38:H41" si="3">G38*F38</f>
        <v>825</v>
      </c>
    </row>
    <row r="39" spans="1:8" x14ac:dyDescent="0.25">
      <c r="C39" s="1" t="s">
        <v>539</v>
      </c>
      <c r="D39" s="4" t="str" cm="1">
        <f t="array" ref="D39:F39">IFERROR(VLOOKUP(C39,MA!$A$6:$D$26,{2,3,4},0),IFERROR(VLOOKUP(C39,MO!$A$6:$D$26,{2,3,4},0),IFERROR(VLOOKUP(C39,MQ!$A$6:$D$26,{2,3,4},0),IFERROR(VLOOKUP(C39,BA!$A$6:$H$185,{2,5,8},0),{"No encontrado","X","X"}))))</f>
        <v>ARENA DE RIO L.A.B. EN OBRA</v>
      </c>
      <c r="E39" s="12" t="str">
        <v>m3</v>
      </c>
      <c r="F39" s="4">
        <v>500</v>
      </c>
      <c r="G39" s="1">
        <v>0.54</v>
      </c>
      <c r="H39" s="4">
        <f t="shared" si="3"/>
        <v>270</v>
      </c>
    </row>
    <row r="40" spans="1:8" x14ac:dyDescent="0.25">
      <c r="C40" s="1" t="s">
        <v>541</v>
      </c>
      <c r="D40" s="4" t="str" cm="1">
        <f t="array" ref="D40:F40">IFERROR(VLOOKUP(C40,MA!$A$6:$D$26,{2,3,4},0),IFERROR(VLOOKUP(C40,MO!$A$6:$D$26,{2,3,4},0),IFERROR(VLOOKUP(C40,MQ!$A$6:$D$26,{2,3,4},0),IFERROR(VLOOKUP(C40,BA!$A$6:$H$185,{2,5,8},0),{"No encontrado","X","X"}))))</f>
        <v>GRAVA DE 3/4</v>
      </c>
      <c r="E40" s="12" t="str">
        <v>m3</v>
      </c>
      <c r="F40" s="4">
        <v>600</v>
      </c>
      <c r="G40" s="1">
        <v>0.65</v>
      </c>
      <c r="H40" s="4">
        <f t="shared" si="3"/>
        <v>390</v>
      </c>
    </row>
    <row r="41" spans="1:8" x14ac:dyDescent="0.25">
      <c r="C41" s="1" t="s">
        <v>68</v>
      </c>
      <c r="D41" s="4" t="str" cm="1">
        <f t="array" ref="D41:F41">IFERROR(VLOOKUP(C41,MA!$A$6:$D$26,{2,3,4},0),IFERROR(VLOOKUP(C41,MO!$A$6:$D$26,{2,3,4},0),IFERROR(VLOOKUP(C41,MQ!$A$6:$D$26,{2,3,4},0),IFERROR(VLOOKUP(C41,BA!$A$6:$H$185,{2,5,8},0),{"No encontrado","X","X"}))))</f>
        <v>AGUA EN PIPA</v>
      </c>
      <c r="E41" s="12" t="str">
        <v>m3</v>
      </c>
      <c r="F41" s="4">
        <v>20</v>
      </c>
      <c r="G41" s="1">
        <v>0.5</v>
      </c>
      <c r="H41" s="4">
        <f t="shared" si="3"/>
        <v>10</v>
      </c>
    </row>
    <row r="42" spans="1:8" x14ac:dyDescent="0.25">
      <c r="D42" s="4"/>
      <c r="E42" s="12"/>
      <c r="F42" s="4"/>
      <c r="H42" s="4"/>
    </row>
    <row r="43" spans="1:8" x14ac:dyDescent="0.25">
      <c r="C43" s="1" t="s">
        <v>526</v>
      </c>
      <c r="D43" s="4" t="str" cm="1">
        <f t="array" ref="D43:F43">IFERROR(VLOOKUP(C43,MA!$A$6:$D$26,{2,3,4},0),IFERROR(VLOOKUP(C43,MO!$A$6:$D$26,{2,3,4},0),IFERROR(VLOOKUP(C43,MQ!$A$6:$D$26,{2,3,4},0),IFERROR(VLOOKUP(C43,BA!$A$6:$H$185,{2,5,8},0),{"No encontrado","X","X"}))))</f>
        <v>PEON</v>
      </c>
      <c r="E43" s="12" t="str">
        <v>JOR</v>
      </c>
      <c r="F43" s="4">
        <v>638.33000000000004</v>
      </c>
      <c r="G43" s="1">
        <v>1</v>
      </c>
      <c r="H43" s="4">
        <f t="shared" ref="H43" si="4">G43*F43</f>
        <v>638.33000000000004</v>
      </c>
    </row>
    <row r="44" spans="1:8" x14ac:dyDescent="0.25">
      <c r="D44" s="4"/>
      <c r="E44" s="12"/>
      <c r="F44" s="4"/>
      <c r="H44" s="4"/>
    </row>
    <row r="45" spans="1:8" x14ac:dyDescent="0.25">
      <c r="C45" s="15" t="str">
        <f>k!$A$10</f>
        <v>HE001</v>
      </c>
      <c r="D45" s="16" t="str">
        <f>k!$B$10</f>
        <v>HERRAMIENTA MENOR</v>
      </c>
      <c r="E45" s="17" t="s">
        <v>33</v>
      </c>
      <c r="F45" s="18">
        <f>SUM(H42:H43)</f>
        <v>638.33000000000004</v>
      </c>
      <c r="G45" s="16">
        <f>k!$D$10</f>
        <v>0.03</v>
      </c>
      <c r="H45" s="16">
        <f>G45*F45</f>
        <v>19.149999999999999</v>
      </c>
    </row>
    <row r="46" spans="1:8" x14ac:dyDescent="0.25">
      <c r="C46" s="15" t="str">
        <f>k!$A$11</f>
        <v>HE002</v>
      </c>
      <c r="D46" s="16" t="str">
        <f>k!$B$11</f>
        <v>MANDO INTERMEDIO</v>
      </c>
      <c r="E46" s="17" t="s">
        <v>33</v>
      </c>
      <c r="F46" s="16">
        <f>F45</f>
        <v>638.33000000000004</v>
      </c>
      <c r="G46" s="16">
        <f>k!$D$11</f>
        <v>0.1</v>
      </c>
      <c r="H46" s="16">
        <f>G46*F46</f>
        <v>63.83</v>
      </c>
    </row>
    <row r="47" spans="1:8" x14ac:dyDescent="0.25">
      <c r="C47" s="15" t="str">
        <f>k!$A$12</f>
        <v>HE003</v>
      </c>
      <c r="D47" s="16" t="str">
        <f>k!$B$12</f>
        <v>EQUIPO DE SEGURIDAD</v>
      </c>
      <c r="E47" s="17" t="s">
        <v>33</v>
      </c>
      <c r="F47" s="16">
        <f t="shared" ref="F47" si="5">F46</f>
        <v>638.33000000000004</v>
      </c>
      <c r="G47" s="16">
        <f>k!$D$12</f>
        <v>0.01</v>
      </c>
      <c r="H47" s="16">
        <f>G47*F47</f>
        <v>6.38</v>
      </c>
    </row>
    <row r="48" spans="1:8" x14ac:dyDescent="0.25">
      <c r="D48" s="4"/>
      <c r="E48" s="12"/>
      <c r="F48" s="4"/>
      <c r="H48" s="4"/>
    </row>
    <row r="49" spans="1:8" x14ac:dyDescent="0.25">
      <c r="C49" s="1" t="s">
        <v>69</v>
      </c>
      <c r="D49" s="4" t="str" cm="1">
        <f t="array" ref="D49:F49">IFERROR(VLOOKUP(C49,MA!$A$6:$D$26,{2,3,4},0),IFERROR(VLOOKUP(C49,MO!$A$6:$D$26,{2,3,4},0),IFERROR(VLOOKUP(C49,MQ!$A$6:$D$26,{2,3,4},0),IFERROR(VLOOKUP(C49,BA!$A$6:$H$185,{2,5,8},0),{"No encontrado","X","X"}))))</f>
        <v>REVOLVEDORA 1 SACO</v>
      </c>
      <c r="E49" s="12" t="str">
        <v>Hr</v>
      </c>
      <c r="F49" s="4">
        <v>250</v>
      </c>
      <c r="G49" s="1">
        <v>1</v>
      </c>
      <c r="H49" s="4">
        <f t="shared" ref="H49" si="6">G49*F49</f>
        <v>250</v>
      </c>
    </row>
    <row r="50" spans="1:8" x14ac:dyDescent="0.25">
      <c r="D50" s="4"/>
      <c r="E50" s="12"/>
      <c r="F50" s="4"/>
      <c r="H50" s="4"/>
    </row>
    <row r="51" spans="1:8" x14ac:dyDescent="0.25">
      <c r="D51" s="4"/>
      <c r="E51" s="12"/>
      <c r="F51" s="4"/>
      <c r="H51" s="4"/>
    </row>
    <row r="53" spans="1:8" s="10" customFormat="1" x14ac:dyDescent="0.25">
      <c r="A53" s="10" t="s">
        <v>548</v>
      </c>
      <c r="B53" s="10" t="s">
        <v>82</v>
      </c>
      <c r="E53" s="13" t="s">
        <v>50</v>
      </c>
      <c r="H53" s="14">
        <f>SUM(H54:H64)</f>
        <v>430.47</v>
      </c>
    </row>
    <row r="54" spans="1:8" x14ac:dyDescent="0.25">
      <c r="C54" s="1" t="s">
        <v>536</v>
      </c>
      <c r="D54" s="4" t="str" cm="1">
        <f t="array" ref="D54:F54">IFERROR(VLOOKUP(C54,MA!$A$6:$D$26,{2,3,4},0),IFERROR(VLOOKUP(C54,MO!$A$6:$D$26,{2,3,4},0),IFERROR(VLOOKUP(C54,MQ!$A$6:$D$26,{2,3,4},0),IFERROR(VLOOKUP(C54,BA!$A$6:$H$185,{2,5,8},0),{"No encontrado","X","X"}))))</f>
        <v>MADERA DE PINO DE TERCERA</v>
      </c>
      <c r="E54" s="12" t="str">
        <v>Pt</v>
      </c>
      <c r="F54" s="4">
        <v>10</v>
      </c>
      <c r="G54" s="1">
        <f>(11/5)*1.25</f>
        <v>2.75</v>
      </c>
      <c r="H54" s="4">
        <f t="shared" ref="H54:H59" si="7">G54*F54</f>
        <v>27.5</v>
      </c>
    </row>
    <row r="55" spans="1:8" x14ac:dyDescent="0.25">
      <c r="C55" s="1" t="s">
        <v>35</v>
      </c>
      <c r="D55" s="4" t="str" cm="1">
        <f t="array" ref="D55:F55">IFERROR(VLOOKUP(C55,MA!$A$6:$D$26,{2,3,4},0),IFERROR(VLOOKUP(C55,MO!$A$6:$D$26,{2,3,4},0),IFERROR(VLOOKUP(C55,MQ!$A$6:$D$26,{2,3,4},0),IFERROR(VLOOKUP(C55,BA!$A$6:$H$185,{2,5,8},0),{"No encontrado","X","X"}))))</f>
        <v>CLAVO</v>
      </c>
      <c r="E55" s="12" t="str">
        <v>Kg</v>
      </c>
      <c r="F55" s="4">
        <v>36</v>
      </c>
      <c r="G55" s="1">
        <v>0.1</v>
      </c>
      <c r="H55" s="4">
        <f t="shared" si="7"/>
        <v>3.6</v>
      </c>
    </row>
    <row r="56" spans="1:8" x14ac:dyDescent="0.25">
      <c r="C56" s="1" t="s">
        <v>543</v>
      </c>
      <c r="D56" s="4" t="str" cm="1">
        <f t="array" ref="D56:F56">IFERROR(VLOOKUP(C56,MA!$A$6:$D$26,{2,3,4},0),IFERROR(VLOOKUP(C56,MO!$A$6:$D$26,{2,3,4},0),IFERROR(VLOOKUP(C56,MQ!$A$6:$D$26,{2,3,4},0),IFERROR(VLOOKUP(C56,BA!$A$6:$H$185,{2,5,8},0),{"No encontrado","X","X"}))))</f>
        <v>ALAMBRE RECOCIDO</v>
      </c>
      <c r="E56" s="12" t="str">
        <v>Kg</v>
      </c>
      <c r="F56" s="4">
        <v>22</v>
      </c>
      <c r="G56" s="1">
        <v>0.5</v>
      </c>
      <c r="H56" s="4">
        <f t="shared" ref="H56" si="8">G56*F56</f>
        <v>11</v>
      </c>
    </row>
    <row r="57" spans="1:8" x14ac:dyDescent="0.25">
      <c r="C57" s="1" t="s">
        <v>549</v>
      </c>
      <c r="D57" s="4" t="str" cm="1">
        <f t="array" ref="D57:F57">IFERROR(VLOOKUP(C57,MA!$A$6:$D$26,{2,3,4},0),IFERROR(VLOOKUP(C57,MO!$A$6:$D$26,{2,3,4},0),IFERROR(VLOOKUP(C57,MQ!$A$6:$D$26,{2,3,4},0),IFERROR(VLOOKUP(C57,BA!$A$6:$H$185,{2,5,8},0),{"No encontrado","X","X"}))))</f>
        <v>DESMOLDANTE</v>
      </c>
      <c r="E57" s="12" t="str">
        <v>Lt</v>
      </c>
      <c r="F57" s="4">
        <v>97.73</v>
      </c>
      <c r="G57" s="1">
        <v>0.2</v>
      </c>
      <c r="H57" s="4">
        <f t="shared" ref="H57" si="9">G57*F57</f>
        <v>19.55</v>
      </c>
    </row>
    <row r="58" spans="1:8" x14ac:dyDescent="0.25">
      <c r="D58" s="4"/>
      <c r="E58" s="12"/>
      <c r="F58" s="4"/>
      <c r="H58" s="4"/>
    </row>
    <row r="59" spans="1:8" x14ac:dyDescent="0.25">
      <c r="C59" s="1" t="s">
        <v>13</v>
      </c>
      <c r="D59" s="4" t="str" cm="1">
        <f t="array" ref="D59:F59">IFERROR(VLOOKUP(C59,MA!$A$6:$D$26,{2,3,4},0),IFERROR(VLOOKUP(C59,MO!$A$6:$D$26,{2,3,4},0),IFERROR(VLOOKUP(C59,MQ!$A$6:$D$26,{2,3,4},0),IFERROR(VLOOKUP(C59,BA!$A$6:$H$185,{2,5,8},0),{"No encontrado","X","X"}))))</f>
        <v>CARPINTERO DE OBRA NEGRA, OFICIAL</v>
      </c>
      <c r="E59" s="12" t="str">
        <v>JOR</v>
      </c>
      <c r="F59" s="4">
        <v>949.25</v>
      </c>
      <c r="G59" s="1">
        <f>1/5</f>
        <v>0.2</v>
      </c>
      <c r="H59" s="4">
        <f t="shared" si="7"/>
        <v>189.85</v>
      </c>
    </row>
    <row r="60" spans="1:8" x14ac:dyDescent="0.25">
      <c r="C60" s="1" t="s">
        <v>11</v>
      </c>
      <c r="D60" s="4" t="str" cm="1">
        <f t="array" ref="D60:F60">IFERROR(VLOOKUP(C60,MA!$A$6:$D$26,{2,3,4},0),IFERROR(VLOOKUP(C60,MO!$A$6:$D$26,{2,3,4},0),IFERROR(VLOOKUP(C60,MQ!$A$6:$D$26,{2,3,4},0),IFERROR(VLOOKUP(C60,BA!$A$6:$H$185,{2,5,8},0),{"No encontrado","X","X"}))))</f>
        <v xml:space="preserve">AYUDANTE GENERAL </v>
      </c>
      <c r="E60" s="12" t="str">
        <v>JOR</v>
      </c>
      <c r="F60" s="4">
        <v>668.33</v>
      </c>
      <c r="G60" s="1">
        <f>1/5</f>
        <v>0.2</v>
      </c>
      <c r="H60" s="4">
        <f t="shared" ref="H60" si="10">G60*F60</f>
        <v>133.66999999999999</v>
      </c>
    </row>
    <row r="61" spans="1:8" x14ac:dyDescent="0.25">
      <c r="D61" s="4"/>
      <c r="E61" s="12"/>
    </row>
    <row r="62" spans="1:8" x14ac:dyDescent="0.25">
      <c r="C62" s="15" t="str">
        <f>k!$A$10</f>
        <v>HE001</v>
      </c>
      <c r="D62" s="16" t="str">
        <f>k!$B$10</f>
        <v>HERRAMIENTA MENOR</v>
      </c>
      <c r="E62" s="17" t="s">
        <v>33</v>
      </c>
      <c r="F62" s="18">
        <f>SUM(H59:H60)</f>
        <v>323.52</v>
      </c>
      <c r="G62" s="16">
        <f>k!$D$10</f>
        <v>0.03</v>
      </c>
      <c r="H62" s="16">
        <f>G62*F62</f>
        <v>9.7100000000000009</v>
      </c>
    </row>
    <row r="63" spans="1:8" x14ac:dyDescent="0.25">
      <c r="C63" s="15" t="str">
        <f>k!$A$11</f>
        <v>HE002</v>
      </c>
      <c r="D63" s="16" t="str">
        <f>k!$B$11</f>
        <v>MANDO INTERMEDIO</v>
      </c>
      <c r="E63" s="17" t="s">
        <v>33</v>
      </c>
      <c r="F63" s="16">
        <f>F62</f>
        <v>323.52</v>
      </c>
      <c r="G63" s="16">
        <f>k!$D$11</f>
        <v>0.1</v>
      </c>
      <c r="H63" s="16">
        <f>G63*F63</f>
        <v>32.35</v>
      </c>
    </row>
    <row r="64" spans="1:8" x14ac:dyDescent="0.25">
      <c r="C64" s="15" t="str">
        <f>k!$A$12</f>
        <v>HE003</v>
      </c>
      <c r="D64" s="16" t="str">
        <f>k!$B$12</f>
        <v>EQUIPO DE SEGURIDAD</v>
      </c>
      <c r="E64" s="17" t="s">
        <v>33</v>
      </c>
      <c r="F64" s="16">
        <f t="shared" ref="F64" si="11">F63</f>
        <v>323.52</v>
      </c>
      <c r="G64" s="16">
        <f>k!$D$12</f>
        <v>0.01</v>
      </c>
      <c r="H64" s="16">
        <f>G64*F64</f>
        <v>3.24</v>
      </c>
    </row>
    <row r="66" spans="1:8" s="10" customFormat="1" ht="47.45" customHeight="1" x14ac:dyDescent="0.25">
      <c r="A66" s="10" t="s">
        <v>566</v>
      </c>
      <c r="B66" s="10" t="s">
        <v>567</v>
      </c>
      <c r="E66" s="13" t="s">
        <v>105</v>
      </c>
      <c r="H66" s="14">
        <f>SUM(H67:H76)</f>
        <v>6834.47</v>
      </c>
    </row>
    <row r="67" spans="1:8" x14ac:dyDescent="0.25">
      <c r="C67" s="1" t="s">
        <v>565</v>
      </c>
      <c r="D67" s="4" t="str" cm="1">
        <f t="array" ref="D67:F67">IFERROR(VLOOKUP(C67,MA!$A$6:$D$26,{2,3,4},0),IFERROR(VLOOKUP(C67,MO!$A$6:$D$26,{2,3,4},0),IFERROR(VLOOKUP(C67,MQ!$A$6:$D$26,{2,3,4},0),IFERROR(VLOOKUP(C67,BA!$A$6:$H$185,{2,5,8},0),{"No encontrado","X","X"}))))</f>
        <v>YESO BLANCO EN SACO</v>
      </c>
      <c r="E67" s="12" t="str">
        <v>Ton</v>
      </c>
      <c r="F67" s="4">
        <v>4200</v>
      </c>
      <c r="G67" s="1">
        <v>1.5</v>
      </c>
      <c r="H67" s="4">
        <f>G67*F67</f>
        <v>6300</v>
      </c>
    </row>
    <row r="68" spans="1:8" x14ac:dyDescent="0.25">
      <c r="C68" s="1" t="s">
        <v>68</v>
      </c>
      <c r="D68" s="4" t="str" cm="1">
        <f t="array" ref="D68:F68">IFERROR(VLOOKUP(C68,MA!$A$6:$D$26,{2,3,4},0),IFERROR(VLOOKUP(C68,MO!$A$6:$D$26,{2,3,4},0),IFERROR(VLOOKUP(C68,MQ!$A$6:$D$26,{2,3,4},0),IFERROR(VLOOKUP(C68,BA!$A$6:$H$185,{2,5,8},0),{"No encontrado","X","X"}))))</f>
        <v>AGUA EN PIPA</v>
      </c>
      <c r="E68" s="12" t="str">
        <v>m3</v>
      </c>
      <c r="F68" s="4">
        <v>20</v>
      </c>
      <c r="G68" s="1">
        <v>1.2</v>
      </c>
      <c r="H68" s="4">
        <f>G68*F68</f>
        <v>24</v>
      </c>
    </row>
    <row r="69" spans="1:8" x14ac:dyDescent="0.25">
      <c r="D69" s="4"/>
      <c r="E69" s="12"/>
    </row>
    <row r="70" spans="1:8" x14ac:dyDescent="0.25">
      <c r="D70" s="4"/>
      <c r="E70" s="12"/>
      <c r="F70" s="4"/>
      <c r="H70" s="4"/>
    </row>
    <row r="71" spans="1:8" x14ac:dyDescent="0.25">
      <c r="C71" s="1" t="s">
        <v>11</v>
      </c>
      <c r="D71" s="4" t="str" cm="1">
        <f t="array" ref="D71:F71">IFERROR(VLOOKUP(C71,MA!$A$6:$D$26,{2,3,4},0),IFERROR(VLOOKUP(C71,MO!$A$6:$D$26,{2,3,4},0),IFERROR(VLOOKUP(C71,MQ!$A$6:$D$26,{2,3,4},0),IFERROR(VLOOKUP(C71,BA!$A$6:$H$185,{2,5,8},0),{"No encontrado","X","X"}))))</f>
        <v xml:space="preserve">AYUDANTE GENERAL </v>
      </c>
      <c r="E71" s="12" t="str">
        <v>JOR</v>
      </c>
      <c r="F71" s="4">
        <v>668.33</v>
      </c>
      <c r="G71" s="1">
        <f>1/1.5</f>
        <v>0.67</v>
      </c>
      <c r="H71" s="4">
        <f>G71*F71</f>
        <v>447.78</v>
      </c>
    </row>
    <row r="72" spans="1:8" x14ac:dyDescent="0.25">
      <c r="D72" s="4"/>
      <c r="E72" s="12"/>
    </row>
    <row r="73" spans="1:8" x14ac:dyDescent="0.25">
      <c r="C73" s="15" t="str">
        <f>k!$A$10</f>
        <v>HE001</v>
      </c>
      <c r="D73" s="16" t="str">
        <f>k!$B$10</f>
        <v>HERRAMIENTA MENOR</v>
      </c>
      <c r="E73" s="17" t="s">
        <v>33</v>
      </c>
      <c r="F73" s="18">
        <f>SUM(H69:H71)</f>
        <v>447.78</v>
      </c>
      <c r="G73" s="16">
        <f>k!$D$10</f>
        <v>0.03</v>
      </c>
      <c r="H73" s="16">
        <f>G73*F73</f>
        <v>13.43</v>
      </c>
    </row>
    <row r="74" spans="1:8" x14ac:dyDescent="0.25">
      <c r="C74" s="15" t="str">
        <f>k!$A$11</f>
        <v>HE002</v>
      </c>
      <c r="D74" s="16" t="str">
        <f>k!$B$11</f>
        <v>MANDO INTERMEDIO</v>
      </c>
      <c r="E74" s="17" t="s">
        <v>33</v>
      </c>
      <c r="F74" s="16">
        <f>F73</f>
        <v>447.78</v>
      </c>
      <c r="G74" s="16">
        <f>k!$D$11</f>
        <v>0.1</v>
      </c>
      <c r="H74" s="16">
        <f>G74*F74</f>
        <v>44.78</v>
      </c>
    </row>
    <row r="75" spans="1:8" x14ac:dyDescent="0.25">
      <c r="C75" s="15" t="str">
        <f>k!$A$12</f>
        <v>HE003</v>
      </c>
      <c r="D75" s="16" t="str">
        <f>k!$B$12</f>
        <v>EQUIPO DE SEGURIDAD</v>
      </c>
      <c r="E75" s="17" t="s">
        <v>33</v>
      </c>
      <c r="F75" s="16">
        <f t="shared" ref="F75" si="12">F74</f>
        <v>447.78</v>
      </c>
      <c r="G75" s="16">
        <f>k!$D$12</f>
        <v>0.01</v>
      </c>
      <c r="H75" s="16">
        <f>G75*F75</f>
        <v>4.4800000000000004</v>
      </c>
    </row>
    <row r="76" spans="1:8" x14ac:dyDescent="0.25">
      <c r="D76" s="4"/>
      <c r="E76" s="12"/>
      <c r="F76" s="4"/>
      <c r="H76" s="4"/>
    </row>
    <row r="185" spans="1:5" x14ac:dyDescent="0.25">
      <c r="A185" s="3" t="s">
        <v>20</v>
      </c>
      <c r="B185" s="3"/>
      <c r="C185" s="3"/>
      <c r="D185" s="3"/>
      <c r="E185" s="1"/>
    </row>
  </sheetData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I13" sqref="I13"/>
    </sheetView>
  </sheetViews>
  <sheetFormatPr baseColWidth="10" defaultRowHeight="15" x14ac:dyDescent="0.25"/>
  <sheetData>
    <row r="1" spans="1:14" x14ac:dyDescent="0.25">
      <c r="A1" t="s">
        <v>41</v>
      </c>
    </row>
    <row r="2" spans="1:14" x14ac:dyDescent="0.25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 x14ac:dyDescent="0.25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 x14ac:dyDescent="0.25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 x14ac:dyDescent="0.25">
      <c r="A5" s="27" t="s">
        <v>43</v>
      </c>
      <c r="B5" s="27" t="s">
        <v>44</v>
      </c>
      <c r="C5" s="27"/>
      <c r="D5" s="28">
        <v>5.5999999999999999E-3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 x14ac:dyDescent="0.25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 x14ac:dyDescent="0.25">
      <c r="A7" s="27" t="s">
        <v>47</v>
      </c>
      <c r="B7" s="27" t="s">
        <v>48</v>
      </c>
      <c r="C7" s="27"/>
      <c r="D7" s="28">
        <v>0</v>
      </c>
    </row>
    <row r="8" spans="1:14" x14ac:dyDescent="0.25">
      <c r="A8" s="27" t="s">
        <v>16</v>
      </c>
      <c r="B8" s="27" t="s">
        <v>49</v>
      </c>
      <c r="C8" s="27"/>
      <c r="D8" s="28"/>
    </row>
    <row r="10" spans="1:14" x14ac:dyDescent="0.25">
      <c r="A10" s="29" t="s">
        <v>23</v>
      </c>
      <c r="B10" s="29" t="s">
        <v>24</v>
      </c>
      <c r="C10" s="29"/>
      <c r="D10" s="30">
        <v>0.03</v>
      </c>
    </row>
    <row r="11" spans="1:14" x14ac:dyDescent="0.25">
      <c r="A11" s="29" t="s">
        <v>25</v>
      </c>
      <c r="B11" s="29" t="s">
        <v>28</v>
      </c>
      <c r="C11" s="29"/>
      <c r="D11" s="30">
        <v>0.1</v>
      </c>
    </row>
    <row r="12" spans="1:14" x14ac:dyDescent="0.25">
      <c r="A12" s="29" t="s">
        <v>26</v>
      </c>
      <c r="B12" s="29" t="s">
        <v>29</v>
      </c>
      <c r="C12" s="29"/>
      <c r="D12" s="30">
        <v>0.01</v>
      </c>
    </row>
    <row r="13" spans="1:14" x14ac:dyDescent="0.25">
      <c r="A13" s="29" t="s">
        <v>27</v>
      </c>
      <c r="B13" s="29" t="s">
        <v>30</v>
      </c>
      <c r="C13" s="29"/>
      <c r="D13" s="30">
        <v>0</v>
      </c>
    </row>
    <row r="14" spans="1:14" x14ac:dyDescent="0.25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Monserrat</cp:lastModifiedBy>
  <cp:lastPrinted>2024-10-11T20:11:17Z</cp:lastPrinted>
  <dcterms:created xsi:type="dcterms:W3CDTF">2024-08-08T20:21:30Z</dcterms:created>
  <dcterms:modified xsi:type="dcterms:W3CDTF">2024-10-12T02:22:51Z</dcterms:modified>
</cp:coreProperties>
</file>