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D:\1.Ing Serrano\1.MAESTRIA UAA\1ER SEMESTRE\3.INGENIERIA DE COSTOS\EJERCICIOS SEMANA 1\"/>
    </mc:Choice>
  </mc:AlternateContent>
  <xr:revisionPtr revIDLastSave="0" documentId="13_ncr:1_{65479CBC-B650-46EB-B80B-5D3A534A3619}" xr6:coauthVersionLast="47" xr6:coauthVersionMax="47" xr10:uidLastSave="{00000000-0000-0000-0000-000000000000}"/>
  <bookViews>
    <workbookView xWindow="-108" yWindow="-108" windowWidth="23256" windowHeight="13176" xr2:uid="{26563543-B7F8-4461-BD29-D070AE2F8C00}"/>
  </bookViews>
  <sheets>
    <sheet name="PU" sheetId="1" r:id="rId1"/>
    <sheet name="MA" sheetId="2" r:id="rId2"/>
    <sheet name="MO" sheetId="3" r:id="rId3"/>
    <sheet name="MQ" sheetId="8" r:id="rId4"/>
    <sheet name="BA" sheetId="7" r:id="rId5"/>
    <sheet name="k" sheetId="4" r:id="rId6"/>
  </sheets>
  <calcPr calcId="191029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1" l="1"/>
  <c r="G15" i="1"/>
  <c r="G14" i="1"/>
  <c r="G12" i="1" l="1"/>
  <c r="G25" i="7"/>
  <c r="D15" i="1" a="1"/>
  <c r="H15" i="1" s="1"/>
  <c r="D14" i="1" a="1"/>
  <c r="H14" i="1" s="1"/>
  <c r="G8" i="1"/>
  <c r="G9" i="1"/>
  <c r="D15" i="1" l="1"/>
  <c r="D14" i="1"/>
  <c r="G20" i="1" l="1"/>
  <c r="G21" i="1"/>
  <c r="D17" i="2"/>
  <c r="H4" i="4"/>
  <c r="H3" i="4"/>
  <c r="H2" i="4"/>
  <c r="D21" i="1"/>
  <c r="C21" i="1"/>
  <c r="D20" i="1"/>
  <c r="C20" i="1"/>
  <c r="D19" i="1"/>
  <c r="C19" i="1"/>
  <c r="D18" i="1"/>
  <c r="C18" i="1"/>
  <c r="D17" i="1"/>
  <c r="C17" i="1"/>
  <c r="D29" i="7"/>
  <c r="C29" i="7"/>
  <c r="D28" i="7"/>
  <c r="C28" i="7"/>
  <c r="D27" i="7"/>
  <c r="C27" i="7"/>
  <c r="D15" i="7"/>
  <c r="D14" i="7"/>
  <c r="D13" i="7"/>
  <c r="C15" i="7"/>
  <c r="C14" i="7"/>
  <c r="C13" i="7"/>
  <c r="D12" i="1" a="1"/>
  <c r="D12" i="1" s="1"/>
  <c r="D8" i="1" a="1"/>
  <c r="D8" i="1" s="1"/>
  <c r="G29" i="7"/>
  <c r="G28" i="7"/>
  <c r="G27" i="7"/>
  <c r="G15" i="7"/>
  <c r="G14" i="7"/>
  <c r="G13" i="7"/>
  <c r="G19" i="1"/>
  <c r="G18" i="1"/>
  <c r="G17" i="1"/>
  <c r="D13" i="1" a="1"/>
  <c r="D13" i="1" s="1"/>
  <c r="D25" i="7" a="1"/>
  <c r="D25" i="7" s="1"/>
  <c r="D23" i="7" a="1"/>
  <c r="D23" i="7" s="1"/>
  <c r="D22" i="7" a="1"/>
  <c r="D22" i="7" s="1"/>
  <c r="D17" i="7" a="1"/>
  <c r="D17" i="7" s="1"/>
  <c r="D9" i="7" a="1"/>
  <c r="D9" i="7" s="1"/>
  <c r="D8" i="7" a="1"/>
  <c r="D8" i="7" s="1"/>
  <c r="D7" i="7" a="1"/>
  <c r="D7" i="7" s="1"/>
  <c r="D11" i="7" a="1"/>
  <c r="D11" i="7" s="1"/>
  <c r="D29" i="1"/>
  <c r="C29" i="1"/>
  <c r="G28" i="1"/>
  <c r="H5" i="4" l="1"/>
  <c r="H9" i="7"/>
  <c r="H22" i="7"/>
  <c r="H23" i="7"/>
  <c r="H7" i="7"/>
  <c r="H8" i="7"/>
  <c r="H25" i="7"/>
  <c r="F27" i="7" s="1"/>
  <c r="H17" i="7"/>
  <c r="H11" i="7"/>
  <c r="F13" i="7" s="1"/>
  <c r="H8" i="1"/>
  <c r="H12" i="1"/>
  <c r="H13" i="1"/>
  <c r="F17" i="1" l="1"/>
  <c r="H17" i="1" s="1"/>
  <c r="F28" i="7"/>
  <c r="H27" i="7"/>
  <c r="F14" i="7"/>
  <c r="H13" i="7"/>
  <c r="F18" i="1" l="1"/>
  <c r="H18" i="1" s="1"/>
  <c r="H28" i="7"/>
  <c r="F29" i="7"/>
  <c r="F15" i="7"/>
  <c r="H14" i="7"/>
  <c r="F19" i="1" l="1"/>
  <c r="H19" i="1" s="1"/>
  <c r="H29" i="7"/>
  <c r="H15" i="7"/>
  <c r="F20" i="1" l="1"/>
  <c r="H20" i="1" s="1"/>
  <c r="H6" i="7"/>
  <c r="F21" i="1" l="1"/>
  <c r="H21" i="1" s="1"/>
  <c r="D9" i="1" a="1"/>
  <c r="H21" i="7"/>
  <c r="D10" i="1" s="1" a="1"/>
  <c r="D10" i="1" l="1"/>
  <c r="H10" i="1"/>
  <c r="D9" i="1"/>
  <c r="H9" i="1"/>
  <c r="F24" i="1" l="1"/>
  <c r="F25" i="1" s="1"/>
  <c r="H25" i="1" s="1"/>
  <c r="H24" i="1" l="1"/>
  <c r="F26" i="1" s="1"/>
  <c r="H26" i="1" l="1"/>
  <c r="F27" i="1" l="1"/>
  <c r="H27" i="1" l="1"/>
  <c r="F28" i="1" l="1"/>
  <c r="H28" i="1" s="1"/>
  <c r="H29" i="1" l="1"/>
  <c r="H6" i="1" s="1"/>
  <c r="D24" i="1"/>
  <c r="C24" i="1"/>
  <c r="D25" i="1"/>
  <c r="C26" i="1"/>
  <c r="D26" i="1"/>
  <c r="C25" i="1"/>
  <c r="C23" i="1"/>
  <c r="C27" i="1"/>
  <c r="D23" i="1"/>
  <c r="D27" i="1"/>
  <c r="C28" i="1"/>
  <c r="D2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Ing. Carlos Serrano</author>
  </authors>
  <commentList>
    <comment ref="G8" authorId="0" shapeId="0" xr:uid="{1B50F55F-FF23-4043-8FFC-1DFC5B650AAE}">
      <text>
        <r>
          <rPr>
            <b/>
            <sz val="9"/>
            <color indexed="81"/>
            <rFont val="Tahoma"/>
            <family val="2"/>
          </rPr>
          <t>Ing. Carlos Serrano:</t>
        </r>
        <r>
          <rPr>
            <sz val="9"/>
            <color indexed="81"/>
            <rFont val="Tahoma"/>
            <family val="2"/>
          </rPr>
          <t xml:space="preserve">
AREA CUÑA (PZA)
AC = 0.28 X 0.14 = 0.0392 M2
CUÑAS X M2 DE ENLADRILLADO
#C = 1.00 M2 / 0.0392 M2 = 25.51 PZS
CONSIDERANDO 5% DESPERDICIO
#C = 25.51 PZS X 1.05 = 26.79 PZS 
REDONDEADO
#C = 27 PZS/M2</t>
        </r>
      </text>
    </comment>
    <comment ref="G9" authorId="0" shapeId="0" xr:uid="{F802B028-51B7-4623-A0DB-F185BF7DC894}">
      <text>
        <r>
          <rPr>
            <b/>
            <sz val="9"/>
            <color indexed="81"/>
            <rFont val="Tahoma"/>
            <family val="2"/>
          </rPr>
          <t>Ing. Carlos Serrano:</t>
        </r>
        <r>
          <rPr>
            <sz val="9"/>
            <color indexed="81"/>
            <rFont val="Tahoma"/>
            <family val="2"/>
          </rPr>
          <t xml:space="preserve">
MORTERO ESPESOR 3 CMS
V = 1.00M X 1.00M X 0.03M = 0.03 M3/M2
CONSIDERANDO DESPERDICIO 5%
V = 0.03M3 X 1.05 = 0.032 M3</t>
        </r>
      </text>
    </comment>
    <comment ref="G12" authorId="0" shapeId="0" xr:uid="{AACC47D3-88C7-41BD-9262-2FC391D5A739}">
      <text>
        <r>
          <rPr>
            <b/>
            <sz val="9"/>
            <color indexed="81"/>
            <rFont val="Tahoma"/>
            <charset val="1"/>
          </rPr>
          <t>Ing. Carlos Serrano:</t>
        </r>
        <r>
          <rPr>
            <sz val="9"/>
            <color indexed="81"/>
            <rFont val="Tahoma"/>
            <charset val="1"/>
          </rPr>
          <t xml:space="preserve">
CONSIDERANDO UN RENDIMIENTO DE 12M2/JOR</t>
        </r>
      </text>
    </comment>
    <comment ref="G13" authorId="0" shapeId="0" xr:uid="{873309B8-E4CD-47B3-AABB-3263F0D21675}">
      <text>
        <r>
          <rPr>
            <b/>
            <sz val="9"/>
            <color indexed="81"/>
            <rFont val="Tahoma"/>
            <charset val="1"/>
          </rPr>
          <t>Ing. Carlos Serrano:</t>
        </r>
        <r>
          <rPr>
            <sz val="9"/>
            <color indexed="81"/>
            <rFont val="Tahoma"/>
            <charset val="1"/>
          </rPr>
          <t xml:space="preserve">
CONSIDERANDO UN RENDIMIENTO DE 12M2/JOR</t>
        </r>
      </text>
    </comment>
    <comment ref="D14" authorId="0" shapeId="0" xr:uid="{FE61A334-CD61-468A-A04F-D3C039280891}">
      <text>
        <r>
          <rPr>
            <b/>
            <sz val="9"/>
            <color indexed="81"/>
            <rFont val="Tahoma"/>
            <family val="2"/>
          </rPr>
          <t>Ing. Carlos Serrano:</t>
        </r>
        <r>
          <rPr>
            <sz val="9"/>
            <color indexed="81"/>
            <rFont val="Tahoma"/>
            <family val="2"/>
          </rPr>
          <t xml:space="preserve">
PARA ELEVACION DE CUÑA</t>
        </r>
      </text>
    </comment>
    <comment ref="G14" authorId="0" shapeId="0" xr:uid="{354AD0F3-5C84-4C9A-A063-405BA988B631}">
      <text>
        <r>
          <rPr>
            <b/>
            <sz val="9"/>
            <color indexed="81"/>
            <rFont val="Tahoma"/>
            <family val="2"/>
          </rPr>
          <t>Ing. Carlos Serrano:</t>
        </r>
        <r>
          <rPr>
            <sz val="9"/>
            <color indexed="81"/>
            <rFont val="Tahoma"/>
            <family val="2"/>
          </rPr>
          <t xml:space="preserve">
CONSIDERANDO QUE LOS AYUDANTES SUBEN 3000 CUÑAS DIARIAS
3000PZS / 27 PZS/M2 = 111.11 M2
RENDIMIENTO
1 JOR / 111M2 = 0.009
</t>
        </r>
      </text>
    </comment>
    <comment ref="D15" authorId="0" shapeId="0" xr:uid="{59B32C3A-3CB7-436E-8F2F-54B5FB26A575}">
      <text>
        <r>
          <rPr>
            <b/>
            <sz val="9"/>
            <color indexed="81"/>
            <rFont val="Tahoma"/>
            <family val="2"/>
          </rPr>
          <t>Ing. Carlos Serrano:</t>
        </r>
        <r>
          <rPr>
            <sz val="9"/>
            <color indexed="81"/>
            <rFont val="Tahoma"/>
            <family val="2"/>
          </rPr>
          <t xml:space="preserve">
PARA ELEVACION DE CUÑA</t>
        </r>
      </text>
    </comment>
    <comment ref="G15" authorId="0" shapeId="0" xr:uid="{D90560FB-F32A-485E-81ED-4E10B7FCE5D0}">
      <text>
        <r>
          <rPr>
            <b/>
            <sz val="9"/>
            <color indexed="81"/>
            <rFont val="Tahoma"/>
            <family val="2"/>
          </rPr>
          <t>Ing. Carlos Serrano:</t>
        </r>
        <r>
          <rPr>
            <sz val="9"/>
            <color indexed="81"/>
            <rFont val="Tahoma"/>
            <family val="2"/>
          </rPr>
          <t xml:space="preserve">
CONSIDERANDO QUE LOS AYUDANTES SUBEN 3000 CUÑAS DIARIAS
3000PZS / 27 PZS/M2 = 111.11 M2
RENDIMIENTO
1 JOR / 111M2 = 0.009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<sst xmlns="http://schemas.openxmlformats.org/spreadsheetml/2006/main" count="224" uniqueCount="128">
  <si>
    <t>CONCEPTO</t>
  </si>
  <si>
    <t>CLAVE PU</t>
  </si>
  <si>
    <t>CLAVE INSUMO</t>
  </si>
  <si>
    <t>DESCRIPCION</t>
  </si>
  <si>
    <t>UNIDAD</t>
  </si>
  <si>
    <t>PRECIO</t>
  </si>
  <si>
    <t>CLAVE MO</t>
  </si>
  <si>
    <t>MO001</t>
  </si>
  <si>
    <t>PEON</t>
  </si>
  <si>
    <t>JOR</t>
  </si>
  <si>
    <t>MO002</t>
  </si>
  <si>
    <t>MO003</t>
  </si>
  <si>
    <t>MO004</t>
  </si>
  <si>
    <t>CAL</t>
  </si>
  <si>
    <t>Kg</t>
  </si>
  <si>
    <t>PU</t>
  </si>
  <si>
    <t>CANT</t>
  </si>
  <si>
    <t>IMPORTE</t>
  </si>
  <si>
    <t xml:space="preserve">INCERTAR FILAS NECESARIAS ARRIBA </t>
  </si>
  <si>
    <t>MADERA DE PINO DE TERCERA</t>
  </si>
  <si>
    <t>Pt</t>
  </si>
  <si>
    <t>HE001</t>
  </si>
  <si>
    <t>HERRAMIENTA MENOR</t>
  </si>
  <si>
    <t>HE002</t>
  </si>
  <si>
    <t>HE003</t>
  </si>
  <si>
    <t>HE004</t>
  </si>
  <si>
    <t>MANDO INTERMEDIO</t>
  </si>
  <si>
    <t>EQUIPO DE SEGURIDAD</t>
  </si>
  <si>
    <t>PRESTACIONES S.S.</t>
  </si>
  <si>
    <t>HE005</t>
  </si>
  <si>
    <t>IMPUESTO SOBRE NOMINA</t>
  </si>
  <si>
    <t>%MO</t>
  </si>
  <si>
    <t>CLAVO</t>
  </si>
  <si>
    <t>CD</t>
  </si>
  <si>
    <t>COSTO DIRECTO</t>
  </si>
  <si>
    <t>IO</t>
  </si>
  <si>
    <t>IC</t>
  </si>
  <si>
    <t>INDIRECTOS OFICINA</t>
  </si>
  <si>
    <t>CARGOS EN %</t>
  </si>
  <si>
    <t>INDIRECTOS DE CAMPO</t>
  </si>
  <si>
    <t>FI</t>
  </si>
  <si>
    <t>FINANCIAMIENTO</t>
  </si>
  <si>
    <t>UT</t>
  </si>
  <si>
    <t>UTILIDAD</t>
  </si>
  <si>
    <t>CA</t>
  </si>
  <si>
    <t>CARGOS ADICIONALES</t>
  </si>
  <si>
    <t>PRECIO UNITARIO</t>
  </si>
  <si>
    <t>m3</t>
  </si>
  <si>
    <t>PIEDRA BRAZA L.A.B. EN OBRA</t>
  </si>
  <si>
    <t>BA001</t>
  </si>
  <si>
    <t>MORTERO CEMENTO-ARENA 1:5</t>
  </si>
  <si>
    <t>CEMENTO GRIS EN SACO</t>
  </si>
  <si>
    <t>Ton</t>
  </si>
  <si>
    <t>ARENA DE RIO L.A.B. EN OBRA</t>
  </si>
  <si>
    <t>AGUA</t>
  </si>
  <si>
    <t>MQ001</t>
  </si>
  <si>
    <t>CLAVE MQ</t>
  </si>
  <si>
    <t>CATALOGO DE MAQUINARIA</t>
  </si>
  <si>
    <t>Hr</t>
  </si>
  <si>
    <t>REVOLVEDORA 1 SACO</t>
  </si>
  <si>
    <t>ANALISIS DE BASICOS (AUXILIARES)</t>
  </si>
  <si>
    <t>BA002</t>
  </si>
  <si>
    <t>GRAVA DE 3/4</t>
  </si>
  <si>
    <t>VARILLA CORRUGADA</t>
  </si>
  <si>
    <t>ALAMBRE RECOCIDO</t>
  </si>
  <si>
    <t>CURACRETO</t>
  </si>
  <si>
    <t>Lt</t>
  </si>
  <si>
    <t>ANALISIS DE PRECIOS UNITARIOS</t>
  </si>
  <si>
    <t>&lt;Suma de 3/3 = 0.99</t>
  </si>
  <si>
    <t>Archivo/Opciones/Avanzadas/Al Calcular Este Libro/Establecer Precisión de Pantalla</t>
  </si>
  <si>
    <t>P001</t>
  </si>
  <si>
    <t>M2</t>
  </si>
  <si>
    <t>ALBAÑIL, OFICIAL</t>
  </si>
  <si>
    <t>AZULEJERO, OFICIAL</t>
  </si>
  <si>
    <t>CARPINTERO DE OBRA NEGRA, OFICIAL</t>
  </si>
  <si>
    <t>CHOFER DE CAMION</t>
  </si>
  <si>
    <t>ELECTRICISTA OFICIAL</t>
  </si>
  <si>
    <t>ENCARGADO DE BODEGA Y/O ALMACEN</t>
  </si>
  <si>
    <t>HERRERO, OFICIAL</t>
  </si>
  <si>
    <t>OPERADOR DE EQUIPO PESADO</t>
  </si>
  <si>
    <t>OPERADOR DE MOTOCOMFORMADORA</t>
  </si>
  <si>
    <t>PINTOR, OFICIAL</t>
  </si>
  <si>
    <t>PLOMERO, OFICIAL</t>
  </si>
  <si>
    <t>VELADOR</t>
  </si>
  <si>
    <t>YESERO, OFICIAL</t>
  </si>
  <si>
    <t>MO005</t>
  </si>
  <si>
    <t>MO006</t>
  </si>
  <si>
    <t>MO007</t>
  </si>
  <si>
    <t>MO008</t>
  </si>
  <si>
    <t>MO009</t>
  </si>
  <si>
    <t>MO010</t>
  </si>
  <si>
    <t>MO011</t>
  </si>
  <si>
    <t>MO012</t>
  </si>
  <si>
    <t>MO013</t>
  </si>
  <si>
    <t>MO014</t>
  </si>
  <si>
    <t>MO015</t>
  </si>
  <si>
    <t>MO016</t>
  </si>
  <si>
    <t xml:space="preserve">AYUDANTE GENERAL </t>
  </si>
  <si>
    <t>FIERRERO OBRA NEGRA  OFICIAL</t>
  </si>
  <si>
    <t>MO017</t>
  </si>
  <si>
    <t>TOPOGRAFO</t>
  </si>
  <si>
    <t>MAD</t>
  </si>
  <si>
    <t>PBRAZA</t>
  </si>
  <si>
    <t>CEM</t>
  </si>
  <si>
    <t>ARENA</t>
  </si>
  <si>
    <t>AGUA EN PIPA</t>
  </si>
  <si>
    <t>G3/4</t>
  </si>
  <si>
    <t>VAR</t>
  </si>
  <si>
    <t>ALAM</t>
  </si>
  <si>
    <t>CURA</t>
  </si>
  <si>
    <t>DESM</t>
  </si>
  <si>
    <t>DESMOLDANTE</t>
  </si>
  <si>
    <t>ALAMBRON</t>
  </si>
  <si>
    <t>ALAMBRON 1/4"</t>
  </si>
  <si>
    <t>EMULSION</t>
  </si>
  <si>
    <t>VAPORTITE</t>
  </si>
  <si>
    <t>TABIQUE</t>
  </si>
  <si>
    <t>TABIQUE ROJO COMUN 7x14x28</t>
  </si>
  <si>
    <t>Millar</t>
  </si>
  <si>
    <t>*</t>
  </si>
  <si>
    <t>VALORES REFERENCIADOS A MI TABLA DE FSR</t>
  </si>
  <si>
    <t>PRECIO AL 2/OCT/2024 HOME DEPOT</t>
  </si>
  <si>
    <t>CONSIDERANDO 4 PEONES RENDIMIENTO 12M3/JOR</t>
  </si>
  <si>
    <t>CUÑA</t>
  </si>
  <si>
    <t>CUÑA DE BARRO 3.5x14x28</t>
  </si>
  <si>
    <t>LECHADA CEMENTO-AGUA</t>
  </si>
  <si>
    <t>ENLADRILLADO DE AZOTEA CON CUÑA DE BARRO COMUN DE 3.5X14X28 CM PREVIAMENTE SATURADOS CON AGUA, ACABADO EN PETATILLO, ASENTADO CON CON MORTERO CEMENTO-AGUA PROP. 1:5 HECHO EN OBRA CON REVOLVEDORA, FORMANDO TABLEROS O CUADROS DE 15M2, CON JUNTAS DE DILATACION, INCLUYE: MATERIALES, MANO DE OBRA, HERRAMIENTA NECESARIA, NIVELADO, ESCOBILLADO CON LECHADA CEMENTO GRIS-AGUA LO SUFICIENTE FLUIDA PARA PENETRAR EN LAS JUNTAS DEL ENLADRILLADO, REMATES, ACARREOS DENTRO DE LA OBRA, ELEVACIONES HASTA UNA ALTURA DE 3.00 MTS, CORTES, DESPERDICIOS, LIMPIEZAS GRUESAS.</t>
  </si>
  <si>
    <t>CONSIDERANDO 4 PEONES RENDIMIENTO 3.2M3/JOR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</si>
</sst>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0"/>
    <numFmt numFmtId="165" formatCode="#,##0.000"/>
  </numFmts>
  <fonts count="1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7" tint="-0.499984740745262"/>
      <name val="Aptos Narrow"/>
      <family val="2"/>
      <scheme val="minor"/>
    </font>
    <font>
      <b/>
      <sz val="11"/>
      <color theme="7" tint="-0.499984740745262"/>
      <name val="Aptos Narrow"/>
      <family val="2"/>
      <scheme val="minor"/>
    </font>
    <font>
      <sz val="11"/>
      <color rgb="FFC00000"/>
      <name val="Aptos Narrow"/>
      <family val="2"/>
      <scheme val="minor"/>
    </font>
    <font>
      <u/>
      <sz val="11"/>
      <color theme="1"/>
      <name val="Aptos Narrow"/>
      <family val="2"/>
      <scheme val="minor"/>
    </font>
    <font>
      <sz val="11"/>
      <color theme="3" tint="0.249977111117893"/>
      <name val="Aptos Narrow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E285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1">
    <xf numFmtId="0" fontId="0" fillId="0" borderId="0" xfId="0"/>
    <xf numFmtId="4" fontId="0" fillId="0" borderId="0" xfId="0" applyNumberFormat="1"/>
    <xf numFmtId="4" fontId="0" fillId="0" borderId="0" xfId="0" applyNumberFormat="1" applyAlignment="1">
      <alignment vertical="center"/>
    </xf>
    <xf numFmtId="4" fontId="0" fillId="0" borderId="1" xfId="0" applyNumberFormat="1" applyBorder="1"/>
    <xf numFmtId="4" fontId="4" fillId="0" borderId="0" xfId="0" applyNumberFormat="1" applyFont="1"/>
    <xf numFmtId="4" fontId="2" fillId="0" borderId="0" xfId="0" applyNumberFormat="1" applyFont="1"/>
    <xf numFmtId="4" fontId="2" fillId="0" borderId="2" xfId="0" applyNumberFormat="1" applyFont="1" applyBorder="1" applyAlignment="1">
      <alignment vertical="center"/>
    </xf>
    <xf numFmtId="4" fontId="2" fillId="0" borderId="0" xfId="0" applyNumberFormat="1" applyFont="1" applyAlignment="1">
      <alignment vertical="center"/>
    </xf>
    <xf numFmtId="4" fontId="0" fillId="0" borderId="0" xfId="0" applyNumberFormat="1" applyAlignment="1">
      <alignment horizontal="center"/>
    </xf>
    <xf numFmtId="4" fontId="0" fillId="0" borderId="0" xfId="0" applyNumberFormat="1" applyAlignment="1">
      <alignment vertical="top"/>
    </xf>
    <xf numFmtId="4" fontId="2" fillId="0" borderId="2" xfId="0" applyNumberFormat="1" applyFont="1" applyBorder="1" applyAlignment="1">
      <alignment horizontal="center" vertical="center"/>
    </xf>
    <xf numFmtId="4" fontId="4" fillId="0" borderId="0" xfId="0" applyNumberFormat="1" applyFont="1" applyAlignment="1">
      <alignment horizontal="center"/>
    </xf>
    <xf numFmtId="4" fontId="0" fillId="0" borderId="0" xfId="0" applyNumberFormat="1" applyAlignment="1">
      <alignment horizontal="center" vertical="top"/>
    </xf>
    <xf numFmtId="4" fontId="6" fillId="0" borderId="0" xfId="0" applyNumberFormat="1" applyFont="1" applyAlignment="1">
      <alignment vertical="top"/>
    </xf>
    <xf numFmtId="4" fontId="0" fillId="2" borderId="0" xfId="0" applyNumberFormat="1" applyFill="1"/>
    <xf numFmtId="4" fontId="4" fillId="2" borderId="0" xfId="0" applyNumberFormat="1" applyFont="1" applyFill="1"/>
    <xf numFmtId="4" fontId="4" fillId="2" borderId="0" xfId="0" applyNumberFormat="1" applyFont="1" applyFill="1" applyAlignment="1">
      <alignment horizontal="center"/>
    </xf>
    <xf numFmtId="4" fontId="6" fillId="2" borderId="0" xfId="0" applyNumberFormat="1" applyFont="1" applyFill="1"/>
    <xf numFmtId="4" fontId="4" fillId="3" borderId="0" xfId="0" applyNumberFormat="1" applyFont="1" applyFill="1"/>
    <xf numFmtId="4" fontId="0" fillId="3" borderId="0" xfId="0" applyNumberFormat="1" applyFill="1" applyAlignment="1">
      <alignment horizontal="center"/>
    </xf>
    <xf numFmtId="4" fontId="0" fillId="3" borderId="0" xfId="0" applyNumberFormat="1" applyFill="1"/>
    <xf numFmtId="4" fontId="6" fillId="3" borderId="0" xfId="0" applyNumberFormat="1" applyFont="1" applyFill="1"/>
    <xf numFmtId="10" fontId="4" fillId="3" borderId="0" xfId="1" applyNumberFormat="1" applyFont="1" applyFill="1"/>
    <xf numFmtId="4" fontId="5" fillId="3" borderId="0" xfId="0" applyNumberFormat="1" applyFont="1" applyFill="1"/>
    <xf numFmtId="4" fontId="2" fillId="3" borderId="0" xfId="0" applyNumberFormat="1" applyFont="1" applyFill="1" applyAlignment="1">
      <alignment horizontal="center"/>
    </xf>
    <xf numFmtId="10" fontId="5" fillId="3" borderId="0" xfId="1" applyNumberFormat="1" applyFont="1" applyFill="1"/>
    <xf numFmtId="0" fontId="0" fillId="3" borderId="0" xfId="0" applyFill="1"/>
    <xf numFmtId="10" fontId="0" fillId="3" borderId="0" xfId="1" applyNumberFormat="1" applyFont="1" applyFill="1"/>
    <xf numFmtId="0" fontId="0" fillId="2" borderId="0" xfId="0" applyFill="1"/>
    <xf numFmtId="10" fontId="0" fillId="2" borderId="0" xfId="0" applyNumberFormat="1" applyFill="1"/>
    <xf numFmtId="4" fontId="2" fillId="0" borderId="2" xfId="0" applyNumberFormat="1" applyFont="1" applyBorder="1" applyAlignment="1">
      <alignment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0" fillId="4" borderId="0" xfId="0" applyFill="1"/>
    <xf numFmtId="2" fontId="0" fillId="4" borderId="0" xfId="0" applyNumberFormat="1" applyFill="1"/>
    <xf numFmtId="2" fontId="7" fillId="4" borderId="0" xfId="0" applyNumberFormat="1" applyFont="1" applyFill="1"/>
    <xf numFmtId="164" fontId="0" fillId="0" borderId="0" xfId="0" applyNumberFormat="1"/>
    <xf numFmtId="4" fontId="8" fillId="0" borderId="0" xfId="0" applyNumberFormat="1" applyFont="1" applyAlignment="1">
      <alignment horizontal="center" vertical="top"/>
    </xf>
    <xf numFmtId="164" fontId="4" fillId="2" borderId="0" xfId="0" applyNumberFormat="1" applyFont="1" applyFill="1"/>
    <xf numFmtId="4" fontId="0" fillId="0" borderId="0" xfId="0" applyNumberFormat="1" applyAlignment="1">
      <alignment horizontal="right"/>
    </xf>
    <xf numFmtId="165" fontId="0" fillId="0" borderId="0" xfId="0" applyNumberFormat="1"/>
    <xf numFmtId="4" fontId="8" fillId="0" borderId="3" xfId="0" applyNumberFormat="1" applyFont="1" applyBorder="1" applyAlignment="1">
      <alignment horizontal="justify" vertical="top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FE285"/>
      <color rgb="FFE7F7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095E3B5-9E81-7E77-A308-8ED1F6BC84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95D80FC-B85F-4860-8991-1B57BAD1D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335DFFA-D4AE-475C-9752-BC3AF43B7B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BD57977-98F1-4AF8-AEB5-69DAB429D0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2419127-1DEB-4BEC-B012-2CA0120B9C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D639F6-9B02-461D-B097-E88E9148A28C}">
  <sheetPr>
    <pageSetUpPr fitToPage="1"/>
  </sheetPr>
  <dimension ref="A2:H34"/>
  <sheetViews>
    <sheetView tabSelected="1" workbookViewId="0">
      <pane xSplit="8" ySplit="5" topLeftCell="I13" activePane="bottomRight" state="frozen"/>
      <selection activeCell="B13" sqref="B13"/>
      <selection pane="topRight" activeCell="B13" sqref="B13"/>
      <selection pane="bottomLeft" activeCell="B13" sqref="B13"/>
      <selection pane="bottomRight" activeCell="G16" sqref="G16"/>
    </sheetView>
  </sheetViews>
  <sheetFormatPr baseColWidth="10" defaultColWidth="11.5546875" defaultRowHeight="14.4" x14ac:dyDescent="0.3"/>
  <cols>
    <col min="1" max="2" width="11.5546875" style="1"/>
    <col min="3" max="3" width="13.44140625" style="1" bestFit="1" customWidth="1"/>
    <col min="4" max="4" width="44" style="1" customWidth="1"/>
    <col min="5" max="5" width="11.5546875" style="8"/>
    <col min="6" max="16384" width="11.5546875" style="1"/>
  </cols>
  <sheetData>
    <row r="2" spans="1:8" x14ac:dyDescent="0.3">
      <c r="E2" s="8" t="s">
        <v>67</v>
      </c>
    </row>
    <row r="5" spans="1:8" s="7" customFormat="1" ht="28.2" customHeight="1" thickBot="1" x14ac:dyDescent="0.35">
      <c r="A5" s="6" t="s">
        <v>1</v>
      </c>
      <c r="B5" s="6" t="s">
        <v>0</v>
      </c>
      <c r="C5" s="6" t="s">
        <v>2</v>
      </c>
      <c r="D5" s="6" t="s">
        <v>3</v>
      </c>
      <c r="E5" s="10" t="s">
        <v>4</v>
      </c>
      <c r="F5" s="6" t="s">
        <v>5</v>
      </c>
      <c r="G5" s="6" t="s">
        <v>16</v>
      </c>
      <c r="H5" s="6" t="s">
        <v>17</v>
      </c>
    </row>
    <row r="6" spans="1:8" s="9" customFormat="1" ht="118.2" customHeight="1" x14ac:dyDescent="0.3">
      <c r="A6" s="9" t="s">
        <v>70</v>
      </c>
      <c r="B6" s="40" t="s">
        <v>126</v>
      </c>
      <c r="C6" s="40"/>
      <c r="D6" s="40"/>
      <c r="E6" s="36" t="s">
        <v>71</v>
      </c>
      <c r="H6" s="13">
        <f>H29</f>
        <v>589.01</v>
      </c>
    </row>
    <row r="8" spans="1:8" x14ac:dyDescent="0.3">
      <c r="C8" s="1" t="s">
        <v>123</v>
      </c>
      <c r="D8" s="4" t="str" cm="1">
        <f t="array" ref="D8:F8">IFERROR(VLOOKUP(C8,MA!$A$6:$D$26,{2,3,4},0),
IFERROR(VLOOKUP(C8,MO!$A$6:$D$26,{2,3,4},0),
IFERROR(VLOOKUP(C8,MQ!$A$6:$D$26,{2,3,4},0),
IFERROR(VLOOKUP(C8,BA!$A$6:$H$106,{2,5,8},0),{"No encontrado","X","X"}))))</f>
        <v>CUÑA DE BARRO 3.5x14x28</v>
      </c>
      <c r="E8" s="11" t="str">
        <v>Millar</v>
      </c>
      <c r="F8" s="4">
        <v>3500</v>
      </c>
      <c r="G8" s="39">
        <f>((1/(0.28*0.14))*1.05)/1000</f>
        <v>2.7E-2</v>
      </c>
      <c r="H8" s="4">
        <f>G8*F8</f>
        <v>94.5</v>
      </c>
    </row>
    <row r="9" spans="1:8" x14ac:dyDescent="0.3">
      <c r="C9" s="1" t="s">
        <v>49</v>
      </c>
      <c r="D9" s="4" t="str" cm="1">
        <f t="array" ref="D9:F9">IFERROR(VLOOKUP(C9,MA!$A$6:$D$26,{2,3,4},0),IFERROR(VLOOKUP(C9,MO!$A$6:$D$26,{2,3,4},0),IFERROR(VLOOKUP(C9,MQ!$A$6:$D$26,{2,3,4},0),IFERROR(VLOOKUP(C9,BA!$A$6:$H$106,{2,5,8},0),{"No encontrado","X","X"}))))</f>
        <v>MORTERO CEMENTO-ARENA 1:5</v>
      </c>
      <c r="E9" s="11" t="str">
        <v>m3</v>
      </c>
      <c r="F9" s="4">
        <v>2766</v>
      </c>
      <c r="G9" s="39">
        <f>1*1*0.03*1.05</f>
        <v>3.2000000000000001E-2</v>
      </c>
      <c r="H9" s="4">
        <f>G9*F9</f>
        <v>88.51</v>
      </c>
    </row>
    <row r="10" spans="1:8" x14ac:dyDescent="0.3">
      <c r="C10" s="1" t="s">
        <v>61</v>
      </c>
      <c r="D10" s="4" t="str" cm="1">
        <f t="array" ref="D10:F10">IFERROR(VLOOKUP(C10,MA!$A$6:$D$26,{2,3,4},0),IFERROR(VLOOKUP(C10,MO!$A$6:$D$26,{2,3,4},0),IFERROR(VLOOKUP(C10,MQ!$A$6:$D$26,{2,3,4},0),IFERROR(VLOOKUP(C10,BA!$A$6:$H$106,{2,5,8},0),{"No encontrado","X","X"}))))</f>
        <v>LECHADA CEMENTO-AGUA</v>
      </c>
      <c r="E10" s="11" t="str">
        <v>m3</v>
      </c>
      <c r="F10" s="4">
        <v>5434.82</v>
      </c>
      <c r="G10" s="39">
        <v>2E-3</v>
      </c>
      <c r="H10" s="4">
        <f>G10*F10</f>
        <v>10.87</v>
      </c>
    </row>
    <row r="11" spans="1:8" x14ac:dyDescent="0.3">
      <c r="D11" s="4"/>
    </row>
    <row r="12" spans="1:8" x14ac:dyDescent="0.3">
      <c r="C12" s="1" t="s">
        <v>7</v>
      </c>
      <c r="D12" s="4" t="str" cm="1">
        <f t="array" ref="D12:F12">IFERROR(VLOOKUP(C12,MA!$A$6:$D$26,{2,3,4},0),
IFERROR(VLOOKUP(C12,MO!$A$6:$D$26,{2,3,4},0),
IFERROR(VLOOKUP(C12,MQ!$A$6:$D$26,{2,3,4},0),
IFERROR(VLOOKUP(C12,BA!$A$6:$H$106,{2,5,8},0),{"No encontrado","X","X"}))))</f>
        <v>ALBAÑIL, OFICIAL</v>
      </c>
      <c r="E12" s="11" t="str">
        <v>JOR</v>
      </c>
      <c r="F12" s="4">
        <v>882.9</v>
      </c>
      <c r="G12" s="1">
        <f>1/12</f>
        <v>0.08</v>
      </c>
      <c r="H12" s="4">
        <f>G12*F12</f>
        <v>70.63</v>
      </c>
    </row>
    <row r="13" spans="1:8" x14ac:dyDescent="0.3">
      <c r="C13" s="1" t="s">
        <v>10</v>
      </c>
      <c r="D13" s="4" t="str" cm="1">
        <f t="array" ref="D13:F13">IFERROR(VLOOKUP(C13,MA!$A$6:$D$26,{2,3,4},0),IFERROR(VLOOKUP(C13,MO!$A$6:$D$26,{2,3,4},0),IFERROR(VLOOKUP(C13,MQ!$A$6:$D$26,{2,3,4},0),IFERROR(VLOOKUP(C13,BA!$A$6:$H$106,{2,5,8},0),{"No encontrado","X","X"}))))</f>
        <v xml:space="preserve">AYUDANTE GENERAL </v>
      </c>
      <c r="E13" s="11" t="str">
        <v>JOR</v>
      </c>
      <c r="F13" s="4">
        <v>670.74</v>
      </c>
      <c r="G13" s="1">
        <f>1/12</f>
        <v>0.08</v>
      </c>
      <c r="H13" s="4">
        <f>G13*F13</f>
        <v>53.66</v>
      </c>
    </row>
    <row r="14" spans="1:8" x14ac:dyDescent="0.3">
      <c r="C14" s="1" t="s">
        <v>10</v>
      </c>
      <c r="D14" s="4" t="str" cm="1">
        <f t="array" ref="D14:F14">IFERROR(VLOOKUP(C14,MA!$A$6:$D$26,{2,3,4},0),IFERROR(VLOOKUP(C14,MO!$A$6:$D$26,{2,3,4},0),IFERROR(VLOOKUP(C14,MQ!$A$6:$D$26,{2,3,4},0),IFERROR(VLOOKUP(C14,BA!$A$6:$H$106,{2,5,8},0),{"No encontrado","X","X"}))))</f>
        <v xml:space="preserve">AYUDANTE GENERAL </v>
      </c>
      <c r="E14" s="11" t="str">
        <v>JOR</v>
      </c>
      <c r="F14" s="4">
        <v>670.74</v>
      </c>
      <c r="G14" s="39">
        <f>1/(3000/27)</f>
        <v>8.9999999999999993E-3</v>
      </c>
      <c r="H14" s="4">
        <f>G14*F14</f>
        <v>6.04</v>
      </c>
    </row>
    <row r="15" spans="1:8" x14ac:dyDescent="0.3">
      <c r="C15" s="1" t="s">
        <v>10</v>
      </c>
      <c r="D15" s="4" t="str" cm="1">
        <f t="array" ref="D15:F15">IFERROR(VLOOKUP(C15,MA!$A$6:$D$26,{2,3,4},0),IFERROR(VLOOKUP(C15,MO!$A$6:$D$26,{2,3,4},0),IFERROR(VLOOKUP(C15,MQ!$A$6:$D$26,{2,3,4},0),IFERROR(VLOOKUP(C15,BA!$A$6:$H$106,{2,5,8},0),{"No encontrado","X","X"}))))</f>
        <v xml:space="preserve">AYUDANTE GENERAL </v>
      </c>
      <c r="E15" s="11" t="str">
        <v>JOR</v>
      </c>
      <c r="F15" s="4">
        <v>670.74</v>
      </c>
      <c r="G15" s="39">
        <f>1/(3000/27)</f>
        <v>8.9999999999999993E-3</v>
      </c>
      <c r="H15" s="4">
        <f>G15*F15</f>
        <v>6.04</v>
      </c>
    </row>
    <row r="16" spans="1:8" x14ac:dyDescent="0.3">
      <c r="D16" s="4"/>
      <c r="E16" s="11"/>
      <c r="F16" s="4"/>
      <c r="H16" s="4"/>
    </row>
    <row r="17" spans="3:8" x14ac:dyDescent="0.3">
      <c r="C17" s="14" t="str">
        <f>k!$A$10</f>
        <v>HE001</v>
      </c>
      <c r="D17" s="15" t="str">
        <f>k!$B$10</f>
        <v>HERRAMIENTA MENOR</v>
      </c>
      <c r="E17" s="16" t="s">
        <v>31</v>
      </c>
      <c r="F17" s="17">
        <f>SUM(H12:H15)</f>
        <v>136.37</v>
      </c>
      <c r="G17" s="15">
        <f>k!$D$10</f>
        <v>0.03</v>
      </c>
      <c r="H17" s="15">
        <f>G17*F17</f>
        <v>4.09</v>
      </c>
    </row>
    <row r="18" spans="3:8" x14ac:dyDescent="0.3">
      <c r="C18" s="14" t="str">
        <f>k!$A$11</f>
        <v>HE002</v>
      </c>
      <c r="D18" s="15" t="str">
        <f>k!$B$11</f>
        <v>MANDO INTERMEDIO</v>
      </c>
      <c r="E18" s="16" t="s">
        <v>31</v>
      </c>
      <c r="F18" s="15">
        <f>F17</f>
        <v>136.37</v>
      </c>
      <c r="G18" s="15">
        <f>k!$D$11</f>
        <v>0.1</v>
      </c>
      <c r="H18" s="15">
        <f>G18*F18</f>
        <v>13.64</v>
      </c>
    </row>
    <row r="19" spans="3:8" x14ac:dyDescent="0.3">
      <c r="C19" s="14" t="str">
        <f>k!$A$12</f>
        <v>HE003</v>
      </c>
      <c r="D19" s="15" t="str">
        <f>k!$B$12</f>
        <v>EQUIPO DE SEGURIDAD</v>
      </c>
      <c r="E19" s="16" t="s">
        <v>31</v>
      </c>
      <c r="F19" s="15">
        <f t="shared" ref="F19:F21" si="0">F18</f>
        <v>136.37</v>
      </c>
      <c r="G19" s="15">
        <f>k!$D$12</f>
        <v>0.01</v>
      </c>
      <c r="H19" s="15">
        <f>G19*F19</f>
        <v>1.36</v>
      </c>
    </row>
    <row r="20" spans="3:8" x14ac:dyDescent="0.3">
      <c r="C20" s="14" t="str">
        <f>k!$A$13</f>
        <v>HE004</v>
      </c>
      <c r="D20" s="15" t="str">
        <f>k!$B$13</f>
        <v>PRESTACIONES S.S.</v>
      </c>
      <c r="E20" s="16" t="s">
        <v>31</v>
      </c>
      <c r="F20" s="15">
        <f t="shared" si="0"/>
        <v>136.37</v>
      </c>
      <c r="G20" s="15">
        <f>k!$D$13</f>
        <v>0.28999999999999998</v>
      </c>
      <c r="H20" s="15">
        <f>G20*F20</f>
        <v>39.549999999999997</v>
      </c>
    </row>
    <row r="21" spans="3:8" x14ac:dyDescent="0.3">
      <c r="C21" s="14" t="str">
        <f>k!$A$14</f>
        <v>HE005</v>
      </c>
      <c r="D21" s="15" t="str">
        <f>k!$B$14</f>
        <v>IMPUESTO SOBRE NOMINA</v>
      </c>
      <c r="E21" s="16" t="s">
        <v>31</v>
      </c>
      <c r="F21" s="15">
        <f t="shared" si="0"/>
        <v>136.37</v>
      </c>
      <c r="G21" s="15">
        <f>k!$D$14</f>
        <v>0.03</v>
      </c>
      <c r="H21" s="15">
        <f>G21*F21</f>
        <v>4.09</v>
      </c>
    </row>
    <row r="23" spans="3:8" x14ac:dyDescent="0.3">
      <c r="C23" s="18" t="str">
        <f>k!$A$2</f>
        <v>CD</v>
      </c>
      <c r="D23" s="18" t="str">
        <f>k!$B$2</f>
        <v>COSTO DIRECTO</v>
      </c>
      <c r="E23" s="19"/>
      <c r="F23" s="20"/>
      <c r="G23" s="20"/>
      <c r="H23" s="20"/>
    </row>
    <row r="24" spans="3:8" x14ac:dyDescent="0.3">
      <c r="C24" s="18" t="str">
        <f>k!$A$3</f>
        <v>IO</v>
      </c>
      <c r="D24" s="18" t="str">
        <f>k!$B$3</f>
        <v>INDIRECTOS OFICINA</v>
      </c>
      <c r="E24" s="19"/>
      <c r="F24" s="21">
        <f>SUM(H8:H21)</f>
        <v>392.98</v>
      </c>
      <c r="G24" s="22">
        <v>0.15029999999999999</v>
      </c>
      <c r="H24" s="18">
        <f>G24*F24</f>
        <v>59.06</v>
      </c>
    </row>
    <row r="25" spans="3:8" x14ac:dyDescent="0.3">
      <c r="C25" s="18" t="str">
        <f>k!$A$4</f>
        <v>IC</v>
      </c>
      <c r="D25" s="18" t="str">
        <f>k!$B$4</f>
        <v>INDIRECTOS DE CAMPO</v>
      </c>
      <c r="E25" s="19"/>
      <c r="F25" s="18">
        <f>F24</f>
        <v>392.98</v>
      </c>
      <c r="G25" s="22">
        <v>0.20469999999999999</v>
      </c>
      <c r="H25" s="18">
        <f>G25*F25</f>
        <v>80.44</v>
      </c>
    </row>
    <row r="26" spans="3:8" x14ac:dyDescent="0.3">
      <c r="C26" s="18" t="str">
        <f>k!$A$5</f>
        <v>FI</v>
      </c>
      <c r="D26" s="18" t="str">
        <f>k!$B$5</f>
        <v>FINANCIAMIENTO</v>
      </c>
      <c r="E26" s="19"/>
      <c r="F26" s="18">
        <f>F25+H24+H25</f>
        <v>532.48</v>
      </c>
      <c r="G26" s="22">
        <v>5.5999999999999999E-3</v>
      </c>
      <c r="H26" s="18">
        <f>G26*F26</f>
        <v>2.98</v>
      </c>
    </row>
    <row r="27" spans="3:8" x14ac:dyDescent="0.3">
      <c r="C27" s="18" t="str">
        <f>k!$A$6</f>
        <v>UT</v>
      </c>
      <c r="D27" s="18" t="str">
        <f>k!$B$6</f>
        <v>UTILIDAD</v>
      </c>
      <c r="E27" s="19"/>
      <c r="F27" s="18">
        <f>F26+H26</f>
        <v>535.46</v>
      </c>
      <c r="G27" s="22">
        <v>0.1</v>
      </c>
      <c r="H27" s="18">
        <f>G27*F27</f>
        <v>53.55</v>
      </c>
    </row>
    <row r="28" spans="3:8" x14ac:dyDescent="0.3">
      <c r="C28" s="18" t="str">
        <f>k!$A$7</f>
        <v>CA</v>
      </c>
      <c r="D28" s="18" t="str">
        <f>k!$B$7</f>
        <v>CARGOS ADICIONALES</v>
      </c>
      <c r="E28" s="19"/>
      <c r="F28" s="18">
        <f>(F27+H27)/(1-G28)</f>
        <v>589.01</v>
      </c>
      <c r="G28" s="22">
        <f>k!$D$7</f>
        <v>0</v>
      </c>
      <c r="H28" s="18">
        <f>G28*F28</f>
        <v>0</v>
      </c>
    </row>
    <row r="29" spans="3:8" s="5" customFormat="1" x14ac:dyDescent="0.3">
      <c r="C29" s="23" t="str">
        <f>k!$A$8</f>
        <v>PU</v>
      </c>
      <c r="D29" s="23" t="str">
        <f>k!$B$8</f>
        <v>PRECIO UNITARIO</v>
      </c>
      <c r="E29" s="24"/>
      <c r="F29" s="23"/>
      <c r="G29" s="25"/>
      <c r="H29" s="23">
        <f>SUM(H24:H28)+F24</f>
        <v>589.01</v>
      </c>
    </row>
    <row r="31" spans="3:8" x14ac:dyDescent="0.3">
      <c r="D31" s="4"/>
      <c r="E31" s="11"/>
      <c r="F31" s="4"/>
      <c r="H31" s="4"/>
    </row>
    <row r="32" spans="3:8" x14ac:dyDescent="0.3">
      <c r="D32" s="4"/>
      <c r="E32" s="11"/>
      <c r="F32" s="4"/>
      <c r="H32" s="4"/>
    </row>
    <row r="33" spans="4:8" x14ac:dyDescent="0.3">
      <c r="D33" s="4"/>
      <c r="E33" s="11"/>
      <c r="F33" s="4"/>
      <c r="H33" s="4"/>
    </row>
    <row r="34" spans="4:8" x14ac:dyDescent="0.3">
      <c r="D34" s="4"/>
      <c r="E34" s="11"/>
      <c r="F34" s="4"/>
      <c r="H34" s="4"/>
    </row>
  </sheetData>
  <mergeCells count="1">
    <mergeCell ref="B6:D6"/>
  </mergeCells>
  <phoneticPr fontId="3" type="noConversion"/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943BD2-7488-43D5-A5D4-B08094DF3DC7}">
  <dimension ref="A5:E26"/>
  <sheetViews>
    <sheetView workbookViewId="0">
      <selection activeCell="D22" sqref="D22"/>
    </sheetView>
  </sheetViews>
  <sheetFormatPr baseColWidth="10" defaultColWidth="11.5546875" defaultRowHeight="14.4" x14ac:dyDescent="0.3"/>
  <cols>
    <col min="1" max="1" width="11.5546875" style="1"/>
    <col min="2" max="2" width="37.109375" style="1" customWidth="1"/>
    <col min="3" max="16384" width="11.5546875" style="1"/>
  </cols>
  <sheetData>
    <row r="5" spans="1:5" s="2" customFormat="1" ht="28.2" customHeight="1" thickBot="1" x14ac:dyDescent="0.35">
      <c r="A5" s="30" t="s">
        <v>2</v>
      </c>
      <c r="B5" s="30" t="s">
        <v>3</v>
      </c>
      <c r="C5" s="31" t="s">
        <v>4</v>
      </c>
      <c r="D5" s="30" t="s">
        <v>5</v>
      </c>
    </row>
    <row r="6" spans="1:5" x14ac:dyDescent="0.3">
      <c r="A6" s="1" t="s">
        <v>13</v>
      </c>
      <c r="B6" s="1" t="s">
        <v>13</v>
      </c>
      <c r="C6" s="1" t="s">
        <v>14</v>
      </c>
      <c r="D6" s="1">
        <v>2</v>
      </c>
    </row>
    <row r="7" spans="1:5" x14ac:dyDescent="0.3">
      <c r="A7" s="1" t="s">
        <v>101</v>
      </c>
      <c r="B7" s="1" t="s">
        <v>19</v>
      </c>
      <c r="C7" s="1" t="s">
        <v>20</v>
      </c>
      <c r="D7" s="1">
        <v>10</v>
      </c>
    </row>
    <row r="8" spans="1:5" x14ac:dyDescent="0.3">
      <c r="A8" s="1" t="s">
        <v>32</v>
      </c>
      <c r="B8" s="1" t="s">
        <v>32</v>
      </c>
      <c r="C8" s="1" t="s">
        <v>14</v>
      </c>
      <c r="D8" s="1">
        <v>36</v>
      </c>
    </row>
    <row r="9" spans="1:5" x14ac:dyDescent="0.3">
      <c r="A9" s="1" t="s">
        <v>102</v>
      </c>
      <c r="B9" s="1" t="s">
        <v>48</v>
      </c>
      <c r="C9" s="1" t="s">
        <v>47</v>
      </c>
      <c r="D9" s="1">
        <v>450</v>
      </c>
    </row>
    <row r="10" spans="1:5" x14ac:dyDescent="0.3">
      <c r="A10" s="1" t="s">
        <v>103</v>
      </c>
      <c r="B10" s="1" t="s">
        <v>51</v>
      </c>
      <c r="C10" s="1" t="s">
        <v>52</v>
      </c>
      <c r="D10" s="1">
        <v>3500</v>
      </c>
      <c r="E10" s="1" t="s">
        <v>121</v>
      </c>
    </row>
    <row r="11" spans="1:5" x14ac:dyDescent="0.3">
      <c r="A11" s="1" t="s">
        <v>104</v>
      </c>
      <c r="B11" s="1" t="s">
        <v>53</v>
      </c>
      <c r="C11" s="1" t="s">
        <v>47</v>
      </c>
      <c r="D11" s="1">
        <v>500</v>
      </c>
    </row>
    <row r="12" spans="1:5" x14ac:dyDescent="0.3">
      <c r="A12" s="1" t="s">
        <v>54</v>
      </c>
      <c r="B12" s="1" t="s">
        <v>105</v>
      </c>
      <c r="C12" s="1" t="s">
        <v>47</v>
      </c>
      <c r="D12" s="1">
        <v>20</v>
      </c>
    </row>
    <row r="13" spans="1:5" x14ac:dyDescent="0.3">
      <c r="A13" s="1" t="s">
        <v>106</v>
      </c>
      <c r="B13" s="1" t="s">
        <v>62</v>
      </c>
      <c r="C13" s="1" t="s">
        <v>47</v>
      </c>
      <c r="D13" s="1">
        <v>600</v>
      </c>
    </row>
    <row r="14" spans="1:5" x14ac:dyDescent="0.3">
      <c r="A14" s="1" t="s">
        <v>107</v>
      </c>
      <c r="B14" s="1" t="s">
        <v>63</v>
      </c>
      <c r="C14" s="1" t="s">
        <v>14</v>
      </c>
      <c r="D14" s="1">
        <v>14.7</v>
      </c>
      <c r="E14" s="1" t="s">
        <v>121</v>
      </c>
    </row>
    <row r="15" spans="1:5" x14ac:dyDescent="0.3">
      <c r="A15" s="1" t="s">
        <v>108</v>
      </c>
      <c r="B15" s="1" t="s">
        <v>64</v>
      </c>
      <c r="C15" s="1" t="s">
        <v>14</v>
      </c>
      <c r="D15" s="1">
        <v>19.3</v>
      </c>
      <c r="E15" s="1" t="s">
        <v>121</v>
      </c>
    </row>
    <row r="16" spans="1:5" x14ac:dyDescent="0.3">
      <c r="A16" s="1" t="s">
        <v>109</v>
      </c>
      <c r="B16" s="1" t="s">
        <v>65</v>
      </c>
      <c r="C16" s="1" t="s">
        <v>66</v>
      </c>
      <c r="D16" s="1">
        <v>45</v>
      </c>
    </row>
    <row r="17" spans="1:5" x14ac:dyDescent="0.3">
      <c r="A17" s="1" t="s">
        <v>110</v>
      </c>
      <c r="B17" s="1" t="s">
        <v>111</v>
      </c>
      <c r="C17" s="1" t="s">
        <v>66</v>
      </c>
      <c r="D17" s="1">
        <f>(2154/1.16)/19</f>
        <v>97.73</v>
      </c>
    </row>
    <row r="18" spans="1:5" x14ac:dyDescent="0.3">
      <c r="A18" s="1" t="s">
        <v>112</v>
      </c>
      <c r="B18" s="1" t="s">
        <v>113</v>
      </c>
      <c r="C18" s="1" t="s">
        <v>14</v>
      </c>
      <c r="D18" s="1">
        <v>16.22</v>
      </c>
      <c r="E18" s="1" t="s">
        <v>121</v>
      </c>
    </row>
    <row r="19" spans="1:5" x14ac:dyDescent="0.3">
      <c r="A19" s="1" t="s">
        <v>114</v>
      </c>
      <c r="B19" s="1" t="s">
        <v>115</v>
      </c>
      <c r="C19" s="1" t="s">
        <v>66</v>
      </c>
      <c r="D19" s="1">
        <v>127.59</v>
      </c>
    </row>
    <row r="20" spans="1:5" x14ac:dyDescent="0.3">
      <c r="A20" s="1" t="s">
        <v>116</v>
      </c>
      <c r="B20" s="1" t="s">
        <v>117</v>
      </c>
      <c r="C20" s="1" t="s">
        <v>118</v>
      </c>
      <c r="D20" s="1">
        <v>3500</v>
      </c>
    </row>
    <row r="21" spans="1:5" x14ac:dyDescent="0.3">
      <c r="A21" s="1" t="s">
        <v>123</v>
      </c>
      <c r="B21" s="1" t="s">
        <v>124</v>
      </c>
      <c r="C21" s="1" t="s">
        <v>118</v>
      </c>
      <c r="D21" s="1">
        <v>3500</v>
      </c>
    </row>
    <row r="26" spans="1:5" x14ac:dyDescent="0.3">
      <c r="A26" s="3" t="s">
        <v>18</v>
      </c>
      <c r="B26" s="3"/>
      <c r="C26" s="3"/>
      <c r="D26" s="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A5FDEB-FB7B-4696-BFC5-4725817B4173}">
  <dimension ref="A3:F26"/>
  <sheetViews>
    <sheetView workbookViewId="0">
      <selection activeCell="D23" sqref="D23"/>
    </sheetView>
  </sheetViews>
  <sheetFormatPr baseColWidth="10" defaultColWidth="11.5546875" defaultRowHeight="14.4" x14ac:dyDescent="0.3"/>
  <cols>
    <col min="1" max="1" width="11.5546875" style="1"/>
    <col min="2" max="2" width="36.109375" style="1" customWidth="1"/>
    <col min="3" max="16384" width="11.5546875" style="1"/>
  </cols>
  <sheetData>
    <row r="3" spans="1:6" x14ac:dyDescent="0.3">
      <c r="E3" s="38" t="s">
        <v>119</v>
      </c>
      <c r="F3" s="1" t="s">
        <v>120</v>
      </c>
    </row>
    <row r="5" spans="1:6" s="2" customFormat="1" ht="28.2" customHeight="1" x14ac:dyDescent="0.3">
      <c r="A5" s="2" t="s">
        <v>6</v>
      </c>
      <c r="B5" s="2" t="s">
        <v>3</v>
      </c>
      <c r="C5" s="2" t="s">
        <v>4</v>
      </c>
      <c r="D5" s="2" t="s">
        <v>5</v>
      </c>
    </row>
    <row r="6" spans="1:6" x14ac:dyDescent="0.3">
      <c r="A6" s="1" t="s">
        <v>7</v>
      </c>
      <c r="B6" s="1" t="s">
        <v>72</v>
      </c>
      <c r="C6" s="1" t="s">
        <v>9</v>
      </c>
      <c r="D6" s="1">
        <v>882.9</v>
      </c>
      <c r="E6" s="1" t="s">
        <v>119</v>
      </c>
    </row>
    <row r="7" spans="1:6" x14ac:dyDescent="0.3">
      <c r="A7" s="1" t="s">
        <v>10</v>
      </c>
      <c r="B7" s="1" t="s">
        <v>97</v>
      </c>
      <c r="C7" s="1" t="s">
        <v>9</v>
      </c>
      <c r="D7" s="1">
        <v>670.74</v>
      </c>
      <c r="E7" s="1" t="s">
        <v>119</v>
      </c>
    </row>
    <row r="8" spans="1:6" x14ac:dyDescent="0.3">
      <c r="A8" s="1" t="s">
        <v>11</v>
      </c>
      <c r="B8" s="1" t="s">
        <v>73</v>
      </c>
      <c r="C8" s="1" t="s">
        <v>9</v>
      </c>
      <c r="D8" s="1">
        <v>934.18</v>
      </c>
      <c r="E8" s="1" t="s">
        <v>119</v>
      </c>
    </row>
    <row r="9" spans="1:6" x14ac:dyDescent="0.3">
      <c r="A9" s="1" t="s">
        <v>12</v>
      </c>
      <c r="B9" s="1" t="s">
        <v>74</v>
      </c>
      <c r="C9" s="1" t="s">
        <v>9</v>
      </c>
      <c r="D9" s="1">
        <v>952.68</v>
      </c>
      <c r="E9" s="1" t="s">
        <v>119</v>
      </c>
    </row>
    <row r="10" spans="1:6" x14ac:dyDescent="0.3">
      <c r="A10" s="1" t="s">
        <v>85</v>
      </c>
      <c r="B10" s="1" t="s">
        <v>75</v>
      </c>
      <c r="C10" s="1" t="s">
        <v>9</v>
      </c>
      <c r="D10" s="1">
        <v>824.19</v>
      </c>
      <c r="E10" s="1" t="s">
        <v>119</v>
      </c>
    </row>
    <row r="11" spans="1:6" x14ac:dyDescent="0.3">
      <c r="A11" s="1" t="s">
        <v>86</v>
      </c>
      <c r="B11" s="1" t="s">
        <v>76</v>
      </c>
      <c r="C11" s="1" t="s">
        <v>9</v>
      </c>
      <c r="D11" s="1">
        <v>934.18</v>
      </c>
      <c r="E11" s="1" t="s">
        <v>119</v>
      </c>
    </row>
    <row r="12" spans="1:6" x14ac:dyDescent="0.3">
      <c r="A12" s="1" t="s">
        <v>87</v>
      </c>
      <c r="B12" s="1" t="s">
        <v>77</v>
      </c>
      <c r="C12" s="1" t="s">
        <v>9</v>
      </c>
      <c r="D12" s="1">
        <v>673.24</v>
      </c>
      <c r="E12" s="1" t="s">
        <v>119</v>
      </c>
    </row>
    <row r="13" spans="1:6" x14ac:dyDescent="0.3">
      <c r="A13" s="1" t="s">
        <v>88</v>
      </c>
      <c r="B13" s="1" t="s">
        <v>98</v>
      </c>
      <c r="C13" s="1" t="s">
        <v>9</v>
      </c>
      <c r="D13" s="1">
        <v>952.68</v>
      </c>
      <c r="E13" s="1" t="s">
        <v>119</v>
      </c>
    </row>
    <row r="14" spans="1:6" x14ac:dyDescent="0.3">
      <c r="A14" s="1" t="s">
        <v>89</v>
      </c>
      <c r="B14" s="1" t="s">
        <v>78</v>
      </c>
      <c r="C14" s="1" t="s">
        <v>9</v>
      </c>
      <c r="D14" s="1">
        <v>989.93</v>
      </c>
      <c r="E14" s="1" t="s">
        <v>119</v>
      </c>
    </row>
    <row r="15" spans="1:6" x14ac:dyDescent="0.3">
      <c r="A15" s="1" t="s">
        <v>90</v>
      </c>
      <c r="B15" s="1" t="s">
        <v>79</v>
      </c>
      <c r="C15" s="1" t="s">
        <v>9</v>
      </c>
      <c r="D15" s="1">
        <v>1069.9000000000001</v>
      </c>
      <c r="E15" s="1" t="s">
        <v>119</v>
      </c>
    </row>
    <row r="16" spans="1:6" x14ac:dyDescent="0.3">
      <c r="A16" s="1" t="s">
        <v>91</v>
      </c>
      <c r="B16" s="1" t="s">
        <v>80</v>
      </c>
      <c r="C16" s="1" t="s">
        <v>9</v>
      </c>
      <c r="D16" s="1">
        <v>1336.18</v>
      </c>
      <c r="E16" s="1" t="s">
        <v>119</v>
      </c>
    </row>
    <row r="17" spans="1:5" x14ac:dyDescent="0.3">
      <c r="A17" s="1" t="s">
        <v>92</v>
      </c>
      <c r="B17" s="1" t="s">
        <v>8</v>
      </c>
      <c r="C17" s="1" t="s">
        <v>9</v>
      </c>
      <c r="D17" s="1">
        <v>640.64</v>
      </c>
      <c r="E17" s="1" t="s">
        <v>119</v>
      </c>
    </row>
    <row r="18" spans="1:5" x14ac:dyDescent="0.3">
      <c r="A18" s="1" t="s">
        <v>93</v>
      </c>
      <c r="B18" s="1" t="s">
        <v>81</v>
      </c>
      <c r="C18" s="1" t="s">
        <v>9</v>
      </c>
      <c r="D18" s="1">
        <v>882.87</v>
      </c>
      <c r="E18" s="1" t="s">
        <v>119</v>
      </c>
    </row>
    <row r="19" spans="1:5" x14ac:dyDescent="0.3">
      <c r="A19" s="1" t="s">
        <v>94</v>
      </c>
      <c r="B19" s="1" t="s">
        <v>82</v>
      </c>
      <c r="C19" s="1" t="s">
        <v>9</v>
      </c>
      <c r="D19" s="1">
        <v>917.98</v>
      </c>
      <c r="E19" s="1" t="s">
        <v>119</v>
      </c>
    </row>
    <row r="20" spans="1:5" x14ac:dyDescent="0.3">
      <c r="A20" s="1" t="s">
        <v>95</v>
      </c>
      <c r="B20" s="1" t="s">
        <v>83</v>
      </c>
      <c r="C20" s="1" t="s">
        <v>9</v>
      </c>
      <c r="D20" s="1">
        <v>662.75</v>
      </c>
      <c r="E20" s="1" t="s">
        <v>119</v>
      </c>
    </row>
    <row r="21" spans="1:5" x14ac:dyDescent="0.3">
      <c r="A21" s="1" t="s">
        <v>96</v>
      </c>
      <c r="B21" s="1" t="s">
        <v>84</v>
      </c>
      <c r="C21" s="1" t="s">
        <v>9</v>
      </c>
      <c r="D21" s="1">
        <v>955.98</v>
      </c>
      <c r="E21" s="1" t="s">
        <v>119</v>
      </c>
    </row>
    <row r="22" spans="1:5" x14ac:dyDescent="0.3">
      <c r="A22" s="1" t="s">
        <v>99</v>
      </c>
      <c r="B22" s="1" t="s">
        <v>100</v>
      </c>
      <c r="C22" s="1" t="s">
        <v>9</v>
      </c>
      <c r="D22" s="1">
        <v>1097.21</v>
      </c>
      <c r="E22" s="1" t="s">
        <v>119</v>
      </c>
    </row>
    <row r="26" spans="1:5" x14ac:dyDescent="0.3">
      <c r="A26" s="3" t="s">
        <v>18</v>
      </c>
      <c r="B26" s="3"/>
      <c r="C26" s="3"/>
      <c r="D26" s="3"/>
    </row>
  </sheetData>
  <phoneticPr fontId="3" type="noConversion"/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79E770-8FBF-479D-A503-E7AE62A92341}">
  <dimension ref="A2:D26"/>
  <sheetViews>
    <sheetView workbookViewId="0">
      <selection activeCell="A7" sqref="A7"/>
    </sheetView>
  </sheetViews>
  <sheetFormatPr baseColWidth="10" defaultColWidth="11.5546875" defaultRowHeight="14.4" x14ac:dyDescent="0.3"/>
  <cols>
    <col min="1" max="1" width="11.5546875" style="1"/>
    <col min="2" max="2" width="36.109375" style="1" customWidth="1"/>
    <col min="3" max="16384" width="11.5546875" style="1"/>
  </cols>
  <sheetData>
    <row r="2" spans="1:4" x14ac:dyDescent="0.3">
      <c r="C2" s="1" t="s">
        <v>57</v>
      </c>
    </row>
    <row r="5" spans="1:4" s="2" customFormat="1" ht="28.2" customHeight="1" x14ac:dyDescent="0.3">
      <c r="A5" s="2" t="s">
        <v>56</v>
      </c>
      <c r="B5" s="2" t="s">
        <v>3</v>
      </c>
      <c r="C5" s="2" t="s">
        <v>4</v>
      </c>
      <c r="D5" s="2" t="s">
        <v>5</v>
      </c>
    </row>
    <row r="6" spans="1:4" x14ac:dyDescent="0.3">
      <c r="A6" s="1" t="s">
        <v>55</v>
      </c>
      <c r="B6" s="1" t="s">
        <v>59</v>
      </c>
      <c r="C6" s="1" t="s">
        <v>58</v>
      </c>
      <c r="D6" s="1">
        <v>250</v>
      </c>
    </row>
    <row r="26" spans="1:4" x14ac:dyDescent="0.3">
      <c r="A26" s="3" t="s">
        <v>18</v>
      </c>
      <c r="B26" s="3"/>
      <c r="C26" s="3"/>
      <c r="D26" s="3"/>
    </row>
  </sheetData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935C7F-ED7A-40EC-8BAF-4AC5B4E95BF1}">
  <sheetPr>
    <pageSetUpPr fitToPage="1"/>
  </sheetPr>
  <dimension ref="A2:I106"/>
  <sheetViews>
    <sheetView workbookViewId="0">
      <pane xSplit="8" ySplit="5" topLeftCell="I15" activePane="bottomRight" state="frozen"/>
      <selection pane="topRight" activeCell="I1" sqref="I1"/>
      <selection pane="bottomLeft" activeCell="A6" sqref="A6"/>
      <selection pane="bottomRight" activeCell="H21" sqref="H21"/>
    </sheetView>
  </sheetViews>
  <sheetFormatPr baseColWidth="10" defaultColWidth="11.5546875" defaultRowHeight="14.4" x14ac:dyDescent="0.3"/>
  <cols>
    <col min="1" max="2" width="11.5546875" style="1"/>
    <col min="3" max="3" width="13.44140625" style="1" bestFit="1" customWidth="1"/>
    <col min="4" max="4" width="44" style="1" customWidth="1"/>
    <col min="5" max="5" width="11.5546875" style="8"/>
    <col min="6" max="16384" width="11.5546875" style="1"/>
  </cols>
  <sheetData>
    <row r="2" spans="1:9" x14ac:dyDescent="0.3">
      <c r="E2" s="8" t="s">
        <v>60</v>
      </c>
    </row>
    <row r="5" spans="1:9" s="7" customFormat="1" ht="28.2" customHeight="1" thickBot="1" x14ac:dyDescent="0.35">
      <c r="A5" s="6" t="s">
        <v>1</v>
      </c>
      <c r="B5" s="6" t="s">
        <v>0</v>
      </c>
      <c r="C5" s="6" t="s">
        <v>2</v>
      </c>
      <c r="D5" s="6" t="s">
        <v>3</v>
      </c>
      <c r="E5" s="10" t="s">
        <v>4</v>
      </c>
      <c r="F5" s="6" t="s">
        <v>5</v>
      </c>
      <c r="G5" s="6" t="s">
        <v>16</v>
      </c>
      <c r="H5" s="6" t="s">
        <v>17</v>
      </c>
    </row>
    <row r="6" spans="1:9" s="9" customFormat="1" ht="47.4" customHeight="1" x14ac:dyDescent="0.3">
      <c r="A6" s="9" t="s">
        <v>49</v>
      </c>
      <c r="B6" s="9" t="s">
        <v>50</v>
      </c>
      <c r="E6" s="12" t="s">
        <v>47</v>
      </c>
      <c r="H6" s="13">
        <f>SUM(H7:H17)</f>
        <v>2766</v>
      </c>
    </row>
    <row r="7" spans="1:9" x14ac:dyDescent="0.3">
      <c r="C7" s="1" t="s">
        <v>103</v>
      </c>
      <c r="D7" s="4" t="str" cm="1">
        <f t="array" ref="D7:F7">IFERROR(VLOOKUP(C7,MA!$A$6:$D$26,{2,3,4},0),IFERROR(VLOOKUP(C7,MO!$A$6:$D$26,{2,3,4},0),IFERROR(VLOOKUP(C7,MQ!$A$6:$D$26,{2,3,4},0),IFERROR(VLOOKUP(C7,BA!$A$6:$H$106,{2,5,8},0),{"No encontrado","X","X"}))))</f>
        <v>CEMENTO GRIS EN SACO</v>
      </c>
      <c r="E7" s="11" t="str">
        <v>Ton</v>
      </c>
      <c r="F7" s="4">
        <v>3500</v>
      </c>
      <c r="G7" s="1">
        <v>0.5</v>
      </c>
      <c r="H7" s="4">
        <f>G7*F7</f>
        <v>1750</v>
      </c>
    </row>
    <row r="8" spans="1:9" x14ac:dyDescent="0.3">
      <c r="C8" s="1" t="s">
        <v>104</v>
      </c>
      <c r="D8" s="4" t="str" cm="1">
        <f t="array" ref="D8:F8">IFERROR(VLOOKUP(C8,MA!$A$6:$D$26,{2,3,4},0),IFERROR(VLOOKUP(C8,MO!$A$6:$D$26,{2,3,4},0),IFERROR(VLOOKUP(C8,MQ!$A$6:$D$26,{2,3,4},0),IFERROR(VLOOKUP(C8,BA!$A$6:$H$106,{2,5,8},0),{"No encontrado","X","X"}))))</f>
        <v>ARENA DE RIO L.A.B. EN OBRA</v>
      </c>
      <c r="E8" s="11" t="str">
        <v>m3</v>
      </c>
      <c r="F8" s="4">
        <v>500</v>
      </c>
      <c r="G8" s="1">
        <v>1.03</v>
      </c>
      <c r="H8" s="4">
        <f>G8*F8</f>
        <v>515</v>
      </c>
    </row>
    <row r="9" spans="1:9" x14ac:dyDescent="0.3">
      <c r="C9" s="1" t="s">
        <v>54</v>
      </c>
      <c r="D9" s="4" t="str" cm="1">
        <f t="array" ref="D9:F9">IFERROR(VLOOKUP(C9,MA!$A$6:$D$26,{2,3,4},0),IFERROR(VLOOKUP(C9,MO!$A$6:$D$26,{2,3,4},0),IFERROR(VLOOKUP(C9,MQ!$A$6:$D$26,{2,3,4},0),IFERROR(VLOOKUP(C9,BA!$A$6:$H$106,{2,5,8},0),{"No encontrado","X","X"}))))</f>
        <v>AGUA EN PIPA</v>
      </c>
      <c r="E9" s="11" t="str">
        <v>m3</v>
      </c>
      <c r="F9" s="4">
        <v>20</v>
      </c>
      <c r="G9" s="1">
        <v>0.5</v>
      </c>
      <c r="H9" s="4">
        <f>G9*F9</f>
        <v>10</v>
      </c>
    </row>
    <row r="10" spans="1:9" x14ac:dyDescent="0.3">
      <c r="D10" s="4"/>
      <c r="E10" s="11"/>
    </row>
    <row r="11" spans="1:9" x14ac:dyDescent="0.3">
      <c r="C11" s="1" t="s">
        <v>92</v>
      </c>
      <c r="D11" s="4" t="str" cm="1">
        <f t="array" ref="D11:F11">IFERROR(VLOOKUP(C11,MA!$A$6:$D$26,{2,3,4},0),IFERROR(VLOOKUP(C11,MO!$A$6:$D$26,{2,3,4},0),IFERROR(VLOOKUP(C11,MQ!$A$6:$D$26,{2,3,4},0),IFERROR(VLOOKUP(C11,BA!$A$6:$H$106,{2,5,8},0),{"No encontrado","X","X"}))))</f>
        <v>PEON</v>
      </c>
      <c r="E11" s="11" t="str">
        <v>JOR</v>
      </c>
      <c r="F11" s="4">
        <v>640.64</v>
      </c>
      <c r="G11" s="1">
        <v>0.33</v>
      </c>
      <c r="H11" s="4">
        <f>G11*F11</f>
        <v>211.41</v>
      </c>
      <c r="I11" s="1" t="s">
        <v>122</v>
      </c>
    </row>
    <row r="12" spans="1:9" x14ac:dyDescent="0.3">
      <c r="D12" s="4"/>
      <c r="E12" s="11"/>
    </row>
    <row r="13" spans="1:9" x14ac:dyDescent="0.3">
      <c r="C13" s="14" t="str">
        <f>k!$A$10</f>
        <v>HE001</v>
      </c>
      <c r="D13" s="15" t="str">
        <f>k!$B$10</f>
        <v>HERRAMIENTA MENOR</v>
      </c>
      <c r="E13" s="16" t="s">
        <v>31</v>
      </c>
      <c r="F13" s="17">
        <f>SUM(H10:H11)</f>
        <v>211.41</v>
      </c>
      <c r="G13" s="15">
        <f>k!$D$10</f>
        <v>0.03</v>
      </c>
      <c r="H13" s="15">
        <f>G13*F13</f>
        <v>6.34</v>
      </c>
    </row>
    <row r="14" spans="1:9" x14ac:dyDescent="0.3">
      <c r="C14" s="14" t="str">
        <f>k!$A$11</f>
        <v>HE002</v>
      </c>
      <c r="D14" s="15" t="str">
        <f>k!$B$11</f>
        <v>MANDO INTERMEDIO</v>
      </c>
      <c r="E14" s="16" t="s">
        <v>31</v>
      </c>
      <c r="F14" s="15">
        <f>F13</f>
        <v>211.41</v>
      </c>
      <c r="G14" s="15">
        <f>k!$D$11</f>
        <v>0.1</v>
      </c>
      <c r="H14" s="15">
        <f>G14*F14</f>
        <v>21.14</v>
      </c>
    </row>
    <row r="15" spans="1:9" x14ac:dyDescent="0.3">
      <c r="C15" s="14" t="str">
        <f>k!$A$12</f>
        <v>HE003</v>
      </c>
      <c r="D15" s="15" t="str">
        <f>k!$B$12</f>
        <v>EQUIPO DE SEGURIDAD</v>
      </c>
      <c r="E15" s="16" t="s">
        <v>31</v>
      </c>
      <c r="F15" s="15">
        <f t="shared" ref="F15" si="0">F14</f>
        <v>211.41</v>
      </c>
      <c r="G15" s="15">
        <f>k!$D$12</f>
        <v>0.01</v>
      </c>
      <c r="H15" s="15">
        <f>G15*F15</f>
        <v>2.11</v>
      </c>
    </row>
    <row r="16" spans="1:9" x14ac:dyDescent="0.3">
      <c r="D16" s="4"/>
      <c r="E16" s="11"/>
      <c r="F16" s="4"/>
      <c r="H16" s="4"/>
    </row>
    <row r="17" spans="1:9" x14ac:dyDescent="0.3">
      <c r="C17" s="1" t="s">
        <v>55</v>
      </c>
      <c r="D17" s="4" t="str" cm="1">
        <f t="array" ref="D17:F17">IFERROR(VLOOKUP(C17,MA!$A$6:$D$26,{2,3,4},0),IFERROR(VLOOKUP(C17,MO!$A$6:$D$26,{2,3,4},0),IFERROR(VLOOKUP(C17,MQ!$A$6:$D$26,{2,3,4},0),IFERROR(VLOOKUP(C17,BA!$A$6:$H$106,{2,5,8},0),{"No encontrado","X","X"}))))</f>
        <v>REVOLVEDORA 1 SACO</v>
      </c>
      <c r="E17" s="11" t="str">
        <v>Hr</v>
      </c>
      <c r="F17" s="4">
        <v>250</v>
      </c>
      <c r="G17" s="1">
        <v>1</v>
      </c>
      <c r="H17" s="4">
        <f>G17*F17</f>
        <v>250</v>
      </c>
    </row>
    <row r="21" spans="1:9" s="9" customFormat="1" ht="47.4" customHeight="1" x14ac:dyDescent="0.3">
      <c r="A21" s="9" t="s">
        <v>61</v>
      </c>
      <c r="B21" s="9" t="s">
        <v>125</v>
      </c>
      <c r="E21" s="12" t="s">
        <v>47</v>
      </c>
      <c r="H21" s="13">
        <f>SUM(H22:H30)</f>
        <v>5434.82</v>
      </c>
    </row>
    <row r="22" spans="1:9" x14ac:dyDescent="0.3">
      <c r="C22" s="1" t="s">
        <v>103</v>
      </c>
      <c r="D22" s="4" t="str" cm="1">
        <f t="array" ref="D22:F22">IFERROR(VLOOKUP(C22,MA!$A$6:$D$26,{2,3,4},0),IFERROR(VLOOKUP(C22,MO!$A$6:$D$26,{2,3,4},0),IFERROR(VLOOKUP(C22,MQ!$A$6:$D$26,{2,3,4},0),IFERROR(VLOOKUP(C22,BA!$A$6:$H$106,{2,5,8},0),{"No encontrado","X","X"}))))</f>
        <v>CEMENTO GRIS EN SACO</v>
      </c>
      <c r="E22" s="11" t="str">
        <v>Ton</v>
      </c>
      <c r="F22" s="4">
        <v>3500</v>
      </c>
      <c r="G22" s="35">
        <v>1.2851999999999999</v>
      </c>
      <c r="H22" s="4">
        <f t="shared" ref="H22:H25" si="1">G22*F22</f>
        <v>4498.2</v>
      </c>
    </row>
    <row r="23" spans="1:9" x14ac:dyDescent="0.3">
      <c r="C23" s="1" t="s">
        <v>54</v>
      </c>
      <c r="D23" s="4" t="str" cm="1">
        <f t="array" ref="D23:F23">IFERROR(VLOOKUP(C23,MA!$A$6:$D$26,{2,3,4},0),IFERROR(VLOOKUP(C23,MO!$A$6:$D$26,{2,3,4},0),IFERROR(VLOOKUP(C23,MQ!$A$6:$D$26,{2,3,4},0),IFERROR(VLOOKUP(C23,BA!$A$6:$H$106,{2,5,8},0),{"No encontrado","X","X"}))))</f>
        <v>AGUA EN PIPA</v>
      </c>
      <c r="E23" s="11" t="str">
        <v>m3</v>
      </c>
      <c r="F23" s="4">
        <v>20</v>
      </c>
      <c r="G23" s="35">
        <v>1.1856</v>
      </c>
      <c r="H23" s="4">
        <f t="shared" si="1"/>
        <v>23.71</v>
      </c>
    </row>
    <row r="24" spans="1:9" x14ac:dyDescent="0.3">
      <c r="D24" s="4"/>
      <c r="E24" s="11"/>
      <c r="F24" s="4"/>
      <c r="G24" s="35"/>
      <c r="H24" s="4"/>
    </row>
    <row r="25" spans="1:9" x14ac:dyDescent="0.3">
      <c r="C25" s="1" t="s">
        <v>92</v>
      </c>
      <c r="D25" s="4" t="str" cm="1">
        <f t="array" ref="D25:F25">IFERROR(VLOOKUP(C25,MA!$A$6:$D$26,{2,3,4},0),IFERROR(VLOOKUP(C25,MO!$A$6:$D$26,{2,3,4},0),IFERROR(VLOOKUP(C25,MQ!$A$6:$D$26,{2,3,4},0),IFERROR(VLOOKUP(C25,BA!$A$6:$H$106,{2,5,8},0),{"No encontrado","X","X"}))))</f>
        <v>PEON</v>
      </c>
      <c r="E25" s="11" t="str">
        <v>JOR</v>
      </c>
      <c r="F25" s="4">
        <v>640.64</v>
      </c>
      <c r="G25" s="35">
        <f>4/3.2</f>
        <v>1.25</v>
      </c>
      <c r="H25" s="4">
        <f t="shared" si="1"/>
        <v>800.8</v>
      </c>
      <c r="I25" s="1" t="s">
        <v>127</v>
      </c>
    </row>
    <row r="26" spans="1:9" x14ac:dyDescent="0.3">
      <c r="D26" s="4"/>
      <c r="E26" s="11"/>
      <c r="F26" s="4"/>
      <c r="G26" s="35"/>
      <c r="H26" s="4"/>
    </row>
    <row r="27" spans="1:9" x14ac:dyDescent="0.3">
      <c r="C27" s="14" t="str">
        <f>k!$A$10</f>
        <v>HE001</v>
      </c>
      <c r="D27" s="15" t="str">
        <f>k!$B$10</f>
        <v>HERRAMIENTA MENOR</v>
      </c>
      <c r="E27" s="16" t="s">
        <v>31</v>
      </c>
      <c r="F27" s="17">
        <f>SUM(H24:H25)</f>
        <v>800.8</v>
      </c>
      <c r="G27" s="37">
        <f>k!$D$10</f>
        <v>0.03</v>
      </c>
      <c r="H27" s="15">
        <f>G27*F27</f>
        <v>24.02</v>
      </c>
    </row>
    <row r="28" spans="1:9" x14ac:dyDescent="0.3">
      <c r="C28" s="14" t="str">
        <f>k!$A$11</f>
        <v>HE002</v>
      </c>
      <c r="D28" s="15" t="str">
        <f>k!$B$11</f>
        <v>MANDO INTERMEDIO</v>
      </c>
      <c r="E28" s="16" t="s">
        <v>31</v>
      </c>
      <c r="F28" s="15">
        <f>F27</f>
        <v>800.8</v>
      </c>
      <c r="G28" s="37">
        <f>k!$D$11</f>
        <v>0.1</v>
      </c>
      <c r="H28" s="15">
        <f>G28*F28</f>
        <v>80.08</v>
      </c>
    </row>
    <row r="29" spans="1:9" x14ac:dyDescent="0.3">
      <c r="C29" s="14" t="str">
        <f>k!$A$12</f>
        <v>HE003</v>
      </c>
      <c r="D29" s="15" t="str">
        <f>k!$B$12</f>
        <v>EQUIPO DE SEGURIDAD</v>
      </c>
      <c r="E29" s="16" t="s">
        <v>31</v>
      </c>
      <c r="F29" s="15">
        <f t="shared" ref="F29" si="2">F28</f>
        <v>800.8</v>
      </c>
      <c r="G29" s="37">
        <f>k!$D$12</f>
        <v>0.01</v>
      </c>
      <c r="H29" s="15">
        <f>G29*F29</f>
        <v>8.01</v>
      </c>
    </row>
    <row r="30" spans="1:9" x14ac:dyDescent="0.3">
      <c r="D30" s="4"/>
      <c r="E30" s="11"/>
      <c r="F30" s="4"/>
      <c r="G30" s="35"/>
      <c r="H30" s="4"/>
    </row>
    <row r="106" spans="1:5" x14ac:dyDescent="0.3">
      <c r="A106" s="3" t="s">
        <v>18</v>
      </c>
      <c r="B106" s="3"/>
      <c r="C106" s="3"/>
      <c r="D106" s="3"/>
      <c r="E106" s="1"/>
    </row>
  </sheetData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F9762-7E5C-4226-BA27-750692A9F853}">
  <dimension ref="A1:N14"/>
  <sheetViews>
    <sheetView workbookViewId="0">
      <selection activeCell="D15" sqref="D15"/>
    </sheetView>
  </sheetViews>
  <sheetFormatPr baseColWidth="10" defaultRowHeight="14.4" x14ac:dyDescent="0.3"/>
  <sheetData>
    <row r="1" spans="1:14" x14ac:dyDescent="0.3">
      <c r="A1" t="s">
        <v>38</v>
      </c>
    </row>
    <row r="2" spans="1:14" x14ac:dyDescent="0.3">
      <c r="A2" s="26" t="s">
        <v>33</v>
      </c>
      <c r="B2" s="26" t="s">
        <v>34</v>
      </c>
      <c r="C2" s="26"/>
      <c r="D2" s="26"/>
      <c r="G2" s="32"/>
      <c r="H2" s="33">
        <f>1/3</f>
        <v>0.33</v>
      </c>
      <c r="I2" s="32"/>
      <c r="J2" s="32"/>
      <c r="K2" s="32"/>
      <c r="L2" s="32"/>
      <c r="M2" s="32"/>
      <c r="N2" s="32"/>
    </row>
    <row r="3" spans="1:14" x14ac:dyDescent="0.3">
      <c r="A3" s="26" t="s">
        <v>35</v>
      </c>
      <c r="B3" s="26" t="s">
        <v>37</v>
      </c>
      <c r="C3" s="26"/>
      <c r="D3" s="27">
        <v>0.08</v>
      </c>
      <c r="G3" s="32"/>
      <c r="H3" s="33">
        <f t="shared" ref="H3:H4" si="0">1/3</f>
        <v>0.33</v>
      </c>
      <c r="I3" s="32"/>
      <c r="J3" s="32"/>
      <c r="K3" s="32"/>
      <c r="L3" s="32"/>
      <c r="M3" s="32"/>
      <c r="N3" s="32"/>
    </row>
    <row r="4" spans="1:14" x14ac:dyDescent="0.3">
      <c r="A4" s="26" t="s">
        <v>36</v>
      </c>
      <c r="B4" s="26" t="s">
        <v>39</v>
      </c>
      <c r="C4" s="26"/>
      <c r="D4" s="27">
        <v>0.14000000000000001</v>
      </c>
      <c r="G4" s="32"/>
      <c r="H4" s="34">
        <f t="shared" si="0"/>
        <v>0.33</v>
      </c>
      <c r="I4" s="32"/>
      <c r="J4" s="32"/>
      <c r="K4" s="32"/>
      <c r="L4" s="32"/>
      <c r="M4" s="32"/>
      <c r="N4" s="32"/>
    </row>
    <row r="5" spans="1:14" x14ac:dyDescent="0.3">
      <c r="A5" s="26" t="s">
        <v>40</v>
      </c>
      <c r="B5" s="26" t="s">
        <v>41</v>
      </c>
      <c r="C5" s="26"/>
      <c r="D5" s="27">
        <v>0.01</v>
      </c>
      <c r="G5" s="32"/>
      <c r="H5" s="32">
        <f>SUM(H2:H4)</f>
        <v>0.99</v>
      </c>
      <c r="I5" s="32" t="s">
        <v>68</v>
      </c>
      <c r="J5" s="32"/>
      <c r="K5" s="32"/>
      <c r="L5" s="32"/>
      <c r="M5" s="32"/>
      <c r="N5" s="32"/>
    </row>
    <row r="6" spans="1:14" x14ac:dyDescent="0.3">
      <c r="A6" s="26" t="s">
        <v>42</v>
      </c>
      <c r="B6" s="26" t="s">
        <v>43</v>
      </c>
      <c r="C6" s="26"/>
      <c r="D6" s="27">
        <v>0.05</v>
      </c>
      <c r="G6" s="32"/>
      <c r="H6" s="32"/>
      <c r="I6" s="32" t="s">
        <v>69</v>
      </c>
      <c r="J6" s="32"/>
      <c r="K6" s="32"/>
      <c r="L6" s="32"/>
      <c r="M6" s="32"/>
      <c r="N6" s="32"/>
    </row>
    <row r="7" spans="1:14" x14ac:dyDescent="0.3">
      <c r="A7" s="26" t="s">
        <v>44</v>
      </c>
      <c r="B7" s="26" t="s">
        <v>45</v>
      </c>
      <c r="C7" s="26"/>
      <c r="D7" s="27">
        <v>0</v>
      </c>
    </row>
    <row r="8" spans="1:14" x14ac:dyDescent="0.3">
      <c r="A8" s="26" t="s">
        <v>15</v>
      </c>
      <c r="B8" s="26" t="s">
        <v>46</v>
      </c>
      <c r="C8" s="26"/>
      <c r="D8" s="27"/>
    </row>
    <row r="10" spans="1:14" x14ac:dyDescent="0.3">
      <c r="A10" s="28" t="s">
        <v>21</v>
      </c>
      <c r="B10" s="28" t="s">
        <v>22</v>
      </c>
      <c r="C10" s="28"/>
      <c r="D10" s="29">
        <v>0.03</v>
      </c>
    </row>
    <row r="11" spans="1:14" x14ac:dyDescent="0.3">
      <c r="A11" s="28" t="s">
        <v>23</v>
      </c>
      <c r="B11" s="28" t="s">
        <v>26</v>
      </c>
      <c r="C11" s="28"/>
      <c r="D11" s="29">
        <v>0.1</v>
      </c>
    </row>
    <row r="12" spans="1:14" x14ac:dyDescent="0.3">
      <c r="A12" s="28" t="s">
        <v>24</v>
      </c>
      <c r="B12" s="28" t="s">
        <v>27</v>
      </c>
      <c r="C12" s="28"/>
      <c r="D12" s="29">
        <v>0.01</v>
      </c>
    </row>
    <row r="13" spans="1:14" x14ac:dyDescent="0.3">
      <c r="A13" s="28" t="s">
        <v>25</v>
      </c>
      <c r="B13" s="28" t="s">
        <v>28</v>
      </c>
      <c r="C13" s="28"/>
      <c r="D13" s="29">
        <v>0.28999999999999998</v>
      </c>
    </row>
    <row r="14" spans="1:14" x14ac:dyDescent="0.3">
      <c r="A14" s="28" t="s">
        <v>29</v>
      </c>
      <c r="B14" s="28" t="s">
        <v>30</v>
      </c>
      <c r="C14" s="28"/>
      <c r="D14" s="29">
        <v>2.5000000000000001E-2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PU</vt:lpstr>
      <vt:lpstr>MA</vt:lpstr>
      <vt:lpstr>MO</vt:lpstr>
      <vt:lpstr>MQ</vt:lpstr>
      <vt:lpstr>BA</vt:lpstr>
      <vt:lpstr>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Raul Fernandez</dc:creator>
  <cp:lastModifiedBy>Juan Carlos Serrano Macias</cp:lastModifiedBy>
  <cp:lastPrinted>2024-08-13T20:07:58Z</cp:lastPrinted>
  <dcterms:created xsi:type="dcterms:W3CDTF">2024-08-08T20:21:30Z</dcterms:created>
  <dcterms:modified xsi:type="dcterms:W3CDTF">2024-10-12T14:56:55Z</dcterms:modified>
</cp:coreProperties>
</file>