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05" yWindow="-105" windowWidth="20730" windowHeight="11760"/>
  </bookViews>
  <sheets>
    <sheet name="PU" sheetId="1" r:id="rId1"/>
    <sheet name="MA" sheetId="2" r:id="rId2"/>
    <sheet name="MO" sheetId="3" r:id="rId3"/>
    <sheet name="MQ" sheetId="8" r:id="rId4"/>
    <sheet name="BA" sheetId="7" r:id="rId5"/>
    <sheet name="k" sheetId="4" r:id="rId6"/>
  </sheets>
  <calcPr calcId="145621" fullPrecision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9" i="1" l="1"/>
  <c r="G12" i="1"/>
  <c r="G9" i="1"/>
  <c r="G18" i="1"/>
  <c r="G14" i="1"/>
  <c r="G13" i="1"/>
  <c r="G11" i="1"/>
  <c r="G8" i="1"/>
  <c r="D37" i="1"/>
  <c r="D15" i="1" a="1"/>
  <c r="F15" i="1" s="1"/>
  <c r="D14" i="1" a="1"/>
  <c r="F14" i="1" s="1"/>
  <c r="D13" i="1" a="1"/>
  <c r="F13" i="1" s="1"/>
  <c r="G79" i="7"/>
  <c r="G78" i="7"/>
  <c r="D75" i="7" a="1"/>
  <c r="F75" i="7" s="1"/>
  <c r="H75" i="7" s="1"/>
  <c r="D74" i="7" a="1"/>
  <c r="F74" i="7" s="1"/>
  <c r="H74" i="7" s="1"/>
  <c r="D73" i="7" a="1"/>
  <c r="D73" i="7" s="1"/>
  <c r="D72" i="7" a="1"/>
  <c r="F72" i="7" s="1"/>
  <c r="H72" i="7" s="1"/>
  <c r="D71" i="7" a="1"/>
  <c r="F71" i="7" s="1"/>
  <c r="H71" i="7" s="1"/>
  <c r="D70" i="7" a="1"/>
  <c r="F70" i="7" s="1"/>
  <c r="H70" i="7" s="1"/>
  <c r="D24" i="1" a="1"/>
  <c r="D24" i="1" s="1"/>
  <c r="D10" i="1" a="1"/>
  <c r="F10" i="1" s="1"/>
  <c r="G83" i="7"/>
  <c r="D83" i="7"/>
  <c r="C83" i="7"/>
  <c r="G82" i="7"/>
  <c r="D82" i="7"/>
  <c r="C82" i="7"/>
  <c r="G81" i="7"/>
  <c r="D81" i="7"/>
  <c r="C81" i="7"/>
  <c r="D79" i="7" a="1"/>
  <c r="E79" i="7" s="1"/>
  <c r="D78" i="7" a="1"/>
  <c r="E78" i="7" s="1"/>
  <c r="D69" i="7" a="1"/>
  <c r="F69" i="7" s="1"/>
  <c r="D28" i="2"/>
  <c r="D39" i="1"/>
  <c r="C39" i="1"/>
  <c r="G38" i="1"/>
  <c r="D38" i="1"/>
  <c r="C38" i="1"/>
  <c r="G37" i="1"/>
  <c r="C37" i="1"/>
  <c r="G36" i="1"/>
  <c r="D36" i="1"/>
  <c r="C36" i="1"/>
  <c r="G35" i="1"/>
  <c r="D35" i="1"/>
  <c r="C35" i="1"/>
  <c r="G34" i="1"/>
  <c r="D34" i="1"/>
  <c r="C34" i="1"/>
  <c r="D33" i="1"/>
  <c r="C33" i="1"/>
  <c r="G31" i="1"/>
  <c r="D31" i="1"/>
  <c r="C31" i="1"/>
  <c r="G30" i="1"/>
  <c r="D30" i="1"/>
  <c r="C30" i="1"/>
  <c r="G29" i="1"/>
  <c r="D29" i="1"/>
  <c r="C29" i="1"/>
  <c r="G28" i="1"/>
  <c r="D28" i="1"/>
  <c r="C28" i="1"/>
  <c r="G27" i="1"/>
  <c r="D27" i="1"/>
  <c r="C27" i="1"/>
  <c r="D23" i="1" a="1"/>
  <c r="F23" i="1" s="1"/>
  <c r="D22" i="1" a="1"/>
  <c r="D22" i="1" s="1"/>
  <c r="D8" i="1" a="1"/>
  <c r="D8" i="1" s="1"/>
  <c r="H14" i="1" l="1"/>
  <c r="H15" i="1"/>
  <c r="E15" i="1"/>
  <c r="D15" i="1"/>
  <c r="E14" i="1"/>
  <c r="D14" i="1"/>
  <c r="E13" i="1"/>
  <c r="D13" i="1"/>
  <c r="D75" i="7"/>
  <c r="E75" i="7"/>
  <c r="D74" i="7"/>
  <c r="E73" i="7"/>
  <c r="E74" i="7"/>
  <c r="F73" i="7"/>
  <c r="H73" i="7" s="1"/>
  <c r="D72" i="7"/>
  <c r="E72" i="7"/>
  <c r="D71" i="7"/>
  <c r="E71" i="7"/>
  <c r="D70" i="7"/>
  <c r="E70" i="7"/>
  <c r="E24" i="1"/>
  <c r="F24" i="1"/>
  <c r="H24" i="1" s="1"/>
  <c r="H10" i="1"/>
  <c r="E10" i="1"/>
  <c r="D10" i="1"/>
  <c r="F79" i="7"/>
  <c r="H79" i="7" s="1"/>
  <c r="D79" i="7"/>
  <c r="F78" i="7"/>
  <c r="H78" i="7" s="1"/>
  <c r="H69" i="7"/>
  <c r="D69" i="7"/>
  <c r="E69" i="7"/>
  <c r="D78" i="7"/>
  <c r="H23" i="1"/>
  <c r="E8" i="1"/>
  <c r="E22" i="1"/>
  <c r="F8" i="1"/>
  <c r="H8" i="1" s="1"/>
  <c r="F22" i="1"/>
  <c r="H22" i="1" s="1"/>
  <c r="D23" i="1"/>
  <c r="E23" i="1"/>
  <c r="D19" i="2"/>
  <c r="H13" i="1" l="1"/>
  <c r="F27" i="1"/>
  <c r="F28" i="1" s="1"/>
  <c r="F81" i="7"/>
  <c r="F82" i="7" s="1"/>
  <c r="G61" i="7"/>
  <c r="G60" i="7"/>
  <c r="D60" i="7" a="1"/>
  <c r="F60" i="7" s="1"/>
  <c r="H60" i="7" s="1"/>
  <c r="G54" i="7"/>
  <c r="D17" i="2"/>
  <c r="D57" i="7" a="1"/>
  <c r="F57" i="7" s="1"/>
  <c r="H57" i="7" s="1"/>
  <c r="D56" i="7" a="1"/>
  <c r="F56" i="7" s="1"/>
  <c r="H56" i="7" s="1"/>
  <c r="H81" i="7" l="1"/>
  <c r="F83" i="7"/>
  <c r="H83" i="7" s="1"/>
  <c r="H82" i="7"/>
  <c r="H27" i="1"/>
  <c r="F29" i="1"/>
  <c r="H28" i="1"/>
  <c r="E60" i="7"/>
  <c r="D60" i="7"/>
  <c r="D57" i="7"/>
  <c r="E57" i="7"/>
  <c r="D56" i="7"/>
  <c r="E56" i="7"/>
  <c r="H68" i="7" l="1"/>
  <c r="H29" i="1"/>
  <c r="F30" i="1"/>
  <c r="D33" i="7" a="1"/>
  <c r="F33" i="7" s="1"/>
  <c r="H33" i="7" s="1"/>
  <c r="G31" i="7"/>
  <c r="D31" i="7"/>
  <c r="C31" i="7"/>
  <c r="G30" i="7"/>
  <c r="D30" i="7"/>
  <c r="C30" i="7"/>
  <c r="G29" i="7"/>
  <c r="D29" i="7"/>
  <c r="C29" i="7"/>
  <c r="D27" i="7" a="1"/>
  <c r="F27" i="7" s="1"/>
  <c r="H27" i="7" s="1"/>
  <c r="F29" i="7" s="1"/>
  <c r="D25" i="7" a="1"/>
  <c r="D25" i="7" s="1"/>
  <c r="D24" i="7" a="1"/>
  <c r="E24" i="7" s="1"/>
  <c r="D23" i="7" a="1"/>
  <c r="F23" i="7" s="1"/>
  <c r="H23" i="7" s="1"/>
  <c r="D22" i="7" a="1"/>
  <c r="F22" i="7" s="1"/>
  <c r="H22" i="7" s="1"/>
  <c r="G17" i="7"/>
  <c r="G11" i="7"/>
  <c r="F31" i="1" l="1"/>
  <c r="H31" i="1" s="1"/>
  <c r="H30" i="1"/>
  <c r="D22" i="7"/>
  <c r="E27" i="7"/>
  <c r="D33" i="7"/>
  <c r="D27" i="7"/>
  <c r="E22" i="7"/>
  <c r="E33" i="7"/>
  <c r="F30" i="7"/>
  <c r="F31" i="7" s="1"/>
  <c r="H31" i="7" s="1"/>
  <c r="H29" i="7"/>
  <c r="F24" i="7"/>
  <c r="H24" i="7" s="1"/>
  <c r="E25" i="7"/>
  <c r="D23" i="7"/>
  <c r="F25" i="7"/>
  <c r="H25" i="7" s="1"/>
  <c r="E23" i="7"/>
  <c r="D24" i="7"/>
  <c r="H4" i="4"/>
  <c r="H3" i="4"/>
  <c r="H2" i="4"/>
  <c r="D65" i="7"/>
  <c r="C65" i="7"/>
  <c r="D64" i="7"/>
  <c r="C64" i="7"/>
  <c r="D63" i="7"/>
  <c r="C63" i="7"/>
  <c r="D48" i="7"/>
  <c r="C48" i="7"/>
  <c r="D47" i="7"/>
  <c r="C47" i="7"/>
  <c r="D46" i="7"/>
  <c r="C46" i="7"/>
  <c r="D15" i="7"/>
  <c r="D14" i="7"/>
  <c r="D13" i="7"/>
  <c r="C15" i="7"/>
  <c r="C14" i="7"/>
  <c r="C13" i="7"/>
  <c r="G65" i="7"/>
  <c r="G64" i="7"/>
  <c r="G63" i="7"/>
  <c r="G48" i="7"/>
  <c r="G47" i="7"/>
  <c r="G46" i="7"/>
  <c r="G15" i="7"/>
  <c r="G14" i="7"/>
  <c r="G13" i="7"/>
  <c r="D50" i="7" a="1"/>
  <c r="D50" i="7" s="1"/>
  <c r="D44" i="7" a="1"/>
  <c r="D44" i="7" s="1"/>
  <c r="D42" i="7" a="1"/>
  <c r="D42" i="7" s="1"/>
  <c r="D41" i="7" a="1"/>
  <c r="D41" i="7" s="1"/>
  <c r="D40" i="7" a="1"/>
  <c r="D40" i="7" s="1"/>
  <c r="D39" i="7" a="1"/>
  <c r="D39" i="7" s="1"/>
  <c r="D17" i="7" a="1"/>
  <c r="D17" i="7" s="1"/>
  <c r="D9" i="7" a="1"/>
  <c r="D9" i="7" s="1"/>
  <c r="D8" i="7" a="1"/>
  <c r="D8" i="7" s="1"/>
  <c r="D7" i="7" a="1"/>
  <c r="D7" i="7" s="1"/>
  <c r="D11" i="7" a="1"/>
  <c r="D11" i="7" s="1"/>
  <c r="D61" i="7" a="1"/>
  <c r="D61" i="7" s="1"/>
  <c r="D55" i="7" a="1"/>
  <c r="D55" i="7" s="1"/>
  <c r="D54" i="7" a="1"/>
  <c r="D54" i="7" s="1"/>
  <c r="H30" i="7" l="1"/>
  <c r="H21" i="7" s="1"/>
  <c r="H5" i="4"/>
  <c r="F61" i="7" l="1"/>
  <c r="H61" i="7" s="1"/>
  <c r="F63" i="7" s="1"/>
  <c r="E61" i="7"/>
  <c r="F55" i="7"/>
  <c r="H55" i="7" s="1"/>
  <c r="E55" i="7"/>
  <c r="F54" i="7"/>
  <c r="H54" i="7" s="1"/>
  <c r="E54" i="7"/>
  <c r="F50" i="7"/>
  <c r="H50" i="7" s="1"/>
  <c r="E50" i="7"/>
  <c r="F44" i="7"/>
  <c r="H44" i="7" s="1"/>
  <c r="F46" i="7" s="1"/>
  <c r="E44" i="7"/>
  <c r="F42" i="7"/>
  <c r="H42" i="7" s="1"/>
  <c r="E42" i="7"/>
  <c r="F41" i="7"/>
  <c r="H41" i="7" s="1"/>
  <c r="E41" i="7"/>
  <c r="F40" i="7"/>
  <c r="H40" i="7" s="1"/>
  <c r="E40" i="7"/>
  <c r="F39" i="7"/>
  <c r="H39" i="7" s="1"/>
  <c r="E39" i="7"/>
  <c r="F17" i="7"/>
  <c r="H17" i="7" s="1"/>
  <c r="E17" i="7"/>
  <c r="F11" i="7"/>
  <c r="H11" i="7" s="1"/>
  <c r="F13" i="7" s="1"/>
  <c r="E11" i="7"/>
  <c r="F9" i="7"/>
  <c r="H9" i="7" s="1"/>
  <c r="E9" i="7"/>
  <c r="F8" i="7"/>
  <c r="H8" i="7" s="1"/>
  <c r="E8" i="7"/>
  <c r="F7" i="7"/>
  <c r="H7" i="7" s="1"/>
  <c r="E7" i="7"/>
  <c r="F14" i="7" l="1"/>
  <c r="H13" i="7"/>
  <c r="H46" i="7"/>
  <c r="F47" i="7"/>
  <c r="F64" i="7"/>
  <c r="H63" i="7"/>
  <c r="F15" i="7" l="1"/>
  <c r="H14" i="7"/>
  <c r="F65" i="7"/>
  <c r="H64" i="7"/>
  <c r="H47" i="7"/>
  <c r="F48" i="7"/>
  <c r="H48" i="7" l="1"/>
  <c r="H65" i="7"/>
  <c r="H15" i="7"/>
  <c r="H38" i="7" l="1"/>
  <c r="H6" i="7"/>
  <c r="D18" i="1" l="1" a="1"/>
  <c r="D12" i="1" a="1"/>
  <c r="D11" i="1" a="1"/>
  <c r="D20" i="1" a="1"/>
  <c r="D9" i="1" a="1"/>
  <c r="H53" i="7"/>
  <c r="D19" i="1" l="1" a="1"/>
  <c r="D19" i="1" s="1"/>
  <c r="D11" i="1"/>
  <c r="F11" i="1"/>
  <c r="H11" i="1" s="1"/>
  <c r="E11" i="1"/>
  <c r="D12" i="1"/>
  <c r="F12" i="1"/>
  <c r="H12" i="1" s="1"/>
  <c r="E12" i="1"/>
  <c r="F18" i="1"/>
  <c r="H18" i="1" s="1"/>
  <c r="E18" i="1"/>
  <c r="D18" i="1"/>
  <c r="D20" i="1"/>
  <c r="E20" i="1"/>
  <c r="F20" i="1"/>
  <c r="H20" i="1" s="1"/>
  <c r="F9" i="1"/>
  <c r="H9" i="1" s="1"/>
  <c r="D9" i="1"/>
  <c r="E9" i="1"/>
  <c r="F19" i="1" l="1"/>
  <c r="H19" i="1" s="1"/>
  <c r="F34" i="1" s="1"/>
  <c r="H34" i="1" s="1"/>
  <c r="E19" i="1"/>
  <c r="F35" i="1" l="1"/>
  <c r="H35" i="1" s="1"/>
  <c r="F36" i="1" s="1"/>
  <c r="H36" i="1" s="1"/>
  <c r="F37" i="1" s="1"/>
  <c r="H37" i="1" l="1"/>
  <c r="F38" i="1" s="1"/>
  <c r="H38" i="1" s="1"/>
  <c r="H39" i="1" s="1"/>
  <c r="H6" i="1" s="1"/>
</calcChain>
</file>

<file path=xl/comments1.xml><?xml version="1.0" encoding="utf-8"?>
<comments xmlns="http://schemas.openxmlformats.org/spreadsheetml/2006/main">
  <authors>
    <author>Usuario de Windows</author>
  </authors>
  <commentList>
    <comment ref="G8" authorId="0">
      <text>
        <r>
          <rPr>
            <b/>
            <sz val="9"/>
            <color indexed="81"/>
            <rFont val="Tahoma"/>
            <charset val="1"/>
          </rPr>
          <t>Usuario de Windows:</t>
        </r>
        <r>
          <rPr>
            <sz val="9"/>
            <color indexed="81"/>
            <rFont val="Tahoma"/>
            <charset val="1"/>
          </rPr>
          <t xml:space="preserve">
12.5 m</t>
        </r>
      </text>
    </comment>
    <comment ref="E13" authorId="0">
      <text>
        <r>
          <rPr>
            <b/>
            <sz val="9"/>
            <color indexed="81"/>
            <rFont val="Tahoma"/>
            <charset val="1"/>
          </rPr>
          <t>Usuario de Windows:</t>
        </r>
        <r>
          <rPr>
            <sz val="9"/>
            <color indexed="81"/>
            <rFont val="Tahoma"/>
            <charset val="1"/>
          </rPr>
          <t xml:space="preserve">
saco</t>
        </r>
      </text>
    </comment>
    <comment ref="D25" authorId="0">
      <text>
        <r>
          <rPr>
            <b/>
            <sz val="9"/>
            <color indexed="81"/>
            <rFont val="Tahoma"/>
            <charset val="1"/>
          </rPr>
          <t>Usuario de Windows:</t>
        </r>
        <r>
          <rPr>
            <sz val="9"/>
            <color indexed="81"/>
            <rFont val="Tahoma"/>
            <charset val="1"/>
          </rPr>
          <t xml:space="preserve">
azulejero ayudante
</t>
        </r>
      </text>
    </comment>
  </commentList>
</comments>
</file>

<file path=xl/comments2.xml><?xml version="1.0" encoding="utf-8"?>
<comments xmlns="http://schemas.openxmlformats.org/spreadsheetml/2006/main">
  <authors>
    <author>Usuario de Windows</author>
  </authors>
  <commentList>
    <comment ref="G23" authorId="0">
      <text>
        <r>
          <rPr>
            <b/>
            <sz val="9"/>
            <color indexed="81"/>
            <rFont val="Tahoma"/>
            <charset val="1"/>
          </rPr>
          <t>Usuario de Windows:</t>
        </r>
        <r>
          <rPr>
            <sz val="9"/>
            <color indexed="81"/>
            <rFont val="Tahoma"/>
            <charset val="1"/>
          </rPr>
          <t xml:space="preserve">
No tene que sumar 1</t>
        </r>
      </text>
    </comment>
    <comment ref="G40" authorId="0">
      <text>
        <r>
          <rPr>
            <b/>
            <sz val="9"/>
            <color indexed="81"/>
            <rFont val="Tahoma"/>
            <charset val="1"/>
          </rPr>
          <t>Usuario de Windows:</t>
        </r>
        <r>
          <rPr>
            <sz val="9"/>
            <color indexed="81"/>
            <rFont val="Tahoma"/>
            <charset val="1"/>
          </rPr>
          <t xml:space="preserve">
No tiene que sumar 1 la Arena y la Grava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<sst xmlns="http://schemas.openxmlformats.org/spreadsheetml/2006/main" count="287" uniqueCount="158">
  <si>
    <t>CONCEPTO</t>
  </si>
  <si>
    <t>CLAVE PU</t>
  </si>
  <si>
    <t>CLAVE INSUMO</t>
  </si>
  <si>
    <t>DESCRIPCION</t>
  </si>
  <si>
    <t>UNIDAD</t>
  </si>
  <si>
    <t>PRECIO</t>
  </si>
  <si>
    <t>CLAVE MO</t>
  </si>
  <si>
    <t>MO001</t>
  </si>
  <si>
    <t>PEON</t>
  </si>
  <si>
    <t>JOR</t>
  </si>
  <si>
    <t>MO002</t>
  </si>
  <si>
    <t>MO003</t>
  </si>
  <si>
    <t>MO004</t>
  </si>
  <si>
    <t>CAL</t>
  </si>
  <si>
    <t>Kg</t>
  </si>
  <si>
    <t>PU</t>
  </si>
  <si>
    <t>CANT</t>
  </si>
  <si>
    <t>IMPORTE</t>
  </si>
  <si>
    <t xml:space="preserve">INCERTAR FILAS NECESARIAS ARRIBA </t>
  </si>
  <si>
    <t>MADERA DE PINO DE TERCERA</t>
  </si>
  <si>
    <t>Pt</t>
  </si>
  <si>
    <t>HE001</t>
  </si>
  <si>
    <t>HERRAMIENTA MENOR</t>
  </si>
  <si>
    <t>HE002</t>
  </si>
  <si>
    <t>HE003</t>
  </si>
  <si>
    <t>HE004</t>
  </si>
  <si>
    <t>MANDO INTERMEDIO</t>
  </si>
  <si>
    <t>EQUIPO DE SEGURIDAD</t>
  </si>
  <si>
    <t>PRESTACIONES S.S.</t>
  </si>
  <si>
    <t>HE005</t>
  </si>
  <si>
    <t>IMPUESTO SOBRE NOMINA</t>
  </si>
  <si>
    <t>%MO</t>
  </si>
  <si>
    <t>CLAVO</t>
  </si>
  <si>
    <t>CD</t>
  </si>
  <si>
    <t>COSTO DIRECTO</t>
  </si>
  <si>
    <t>IO</t>
  </si>
  <si>
    <t>IC</t>
  </si>
  <si>
    <t>INDIRECTOS OFICINA</t>
  </si>
  <si>
    <t>CARGOS EN %</t>
  </si>
  <si>
    <t>INDIRECTOS DE CAMPO</t>
  </si>
  <si>
    <t>FI</t>
  </si>
  <si>
    <t>FINANCIAMIENTO</t>
  </si>
  <si>
    <t>UT</t>
  </si>
  <si>
    <t>UTILIDAD</t>
  </si>
  <si>
    <t>CA</t>
  </si>
  <si>
    <t>CARGOS ADICIONALES</t>
  </si>
  <si>
    <t>PRECIO UNITARIO</t>
  </si>
  <si>
    <t>m2</t>
  </si>
  <si>
    <t>m3</t>
  </si>
  <si>
    <t>PIEDRA BRAZA L.A.B. EN OBRA</t>
  </si>
  <si>
    <t>BA001</t>
  </si>
  <si>
    <t>MORTERO CEMENTO-ARENA 1:5</t>
  </si>
  <si>
    <t>CEMENTO GRIS EN SACO</t>
  </si>
  <si>
    <t>Ton</t>
  </si>
  <si>
    <t>ARENA DE RIO L.A.B. EN OBRA</t>
  </si>
  <si>
    <t>AGUA</t>
  </si>
  <si>
    <t>MQ001</t>
  </si>
  <si>
    <t>CLAVE MQ</t>
  </si>
  <si>
    <t>CATALOGO DE MAQUINARIA</t>
  </si>
  <si>
    <t>Hr</t>
  </si>
  <si>
    <t>REVOLVEDORA 1 SACO</t>
  </si>
  <si>
    <t>ANALISIS DE BASICOS (AUXILIARES)</t>
  </si>
  <si>
    <t>BA002</t>
  </si>
  <si>
    <t>CONCRETO F'c= 250 Kg/cm2 TMA 3/4" HECHO EN OBRA</t>
  </si>
  <si>
    <t>GRAVA DE 3/4</t>
  </si>
  <si>
    <t>BA003</t>
  </si>
  <si>
    <t>CIMBRA COMUN</t>
  </si>
  <si>
    <t>VARILLA CORRUGADA</t>
  </si>
  <si>
    <t>ALAMBRE RECOCIDO</t>
  </si>
  <si>
    <t>CURACRETO</t>
  </si>
  <si>
    <t>Lt</t>
  </si>
  <si>
    <t>ANALISIS DE PRECIOS UNITARIOS</t>
  </si>
  <si>
    <t>&lt;Suma de 3/3 = 0.99</t>
  </si>
  <si>
    <t>Archivo/Opciones/Avanzadas/Al Calcular Este Libro/Establecer Precisión de Pantalla</t>
  </si>
  <si>
    <t>ALBAÑIL, OFICIAL</t>
  </si>
  <si>
    <t>AZULEJERO, OFICIAL</t>
  </si>
  <si>
    <t>CARPINTERO DE OBRA NEGRA, OFICIAL</t>
  </si>
  <si>
    <t>CHOFER DE CAMION</t>
  </si>
  <si>
    <t>ELECTRICISTA OFICIAL</t>
  </si>
  <si>
    <t>ENCARGADO DE BODEGA Y/O ALMACEN</t>
  </si>
  <si>
    <t>HERRERO, OFICIAL</t>
  </si>
  <si>
    <t>OPERADOR DE EQUIPO PESADO</t>
  </si>
  <si>
    <t>OPERADOR DE MOTOCOMFORMADORA</t>
  </si>
  <si>
    <t>PINTOR, OFICIAL</t>
  </si>
  <si>
    <t>PLOMERO, OFICIAL</t>
  </si>
  <si>
    <t>VELADOR</t>
  </si>
  <si>
    <t>YESERO, OFICIAL</t>
  </si>
  <si>
    <t>MO005</t>
  </si>
  <si>
    <t>MO006</t>
  </si>
  <si>
    <t>MO007</t>
  </si>
  <si>
    <t>MO008</t>
  </si>
  <si>
    <t>MO009</t>
  </si>
  <si>
    <t>MO010</t>
  </si>
  <si>
    <t>MO011</t>
  </si>
  <si>
    <t>MO012</t>
  </si>
  <si>
    <t>MO013</t>
  </si>
  <si>
    <t>MO014</t>
  </si>
  <si>
    <t>MO015</t>
  </si>
  <si>
    <t>MO016</t>
  </si>
  <si>
    <t xml:space="preserve">AYUDANTE GENERAL </t>
  </si>
  <si>
    <t>FIERRERO OBRA NEGRA  OFICIAL</t>
  </si>
  <si>
    <t>MO017</t>
  </si>
  <si>
    <t>TOPOGRAFO</t>
  </si>
  <si>
    <t>MAD</t>
  </si>
  <si>
    <t>PBRAZA</t>
  </si>
  <si>
    <t>CEM</t>
  </si>
  <si>
    <t>ARENA</t>
  </si>
  <si>
    <t>AGUA EN PIPA</t>
  </si>
  <si>
    <t>G3/4</t>
  </si>
  <si>
    <t>VAR</t>
  </si>
  <si>
    <t>ALAM</t>
  </si>
  <si>
    <t>CURA</t>
  </si>
  <si>
    <t>CONCRETO F'c= 150 Kg/cm2 TMA 3/4" HECHO EN OBRA</t>
  </si>
  <si>
    <t>DESMO</t>
  </si>
  <si>
    <t>DESMOLDANTE</t>
  </si>
  <si>
    <t>BA004</t>
  </si>
  <si>
    <t>ALAMBRON</t>
  </si>
  <si>
    <t>ALAMBRON 1/4</t>
  </si>
  <si>
    <t>m</t>
  </si>
  <si>
    <t>EMUL</t>
  </si>
  <si>
    <t>EMULSIÓN ASFALTICA</t>
  </si>
  <si>
    <t>PU007</t>
  </si>
  <si>
    <t>TABIQUE RR 7-14-28</t>
  </si>
  <si>
    <t>millar</t>
  </si>
  <si>
    <t>TAB</t>
  </si>
  <si>
    <t>BLOCK</t>
  </si>
  <si>
    <t>BLOCK HUECO 20 X 20 X 40 CM</t>
  </si>
  <si>
    <t>pza</t>
  </si>
  <si>
    <t>CASTI</t>
  </si>
  <si>
    <t>PEGA</t>
  </si>
  <si>
    <t>LOSET</t>
  </si>
  <si>
    <t>LOSETA TIPO MADERA</t>
  </si>
  <si>
    <t>BMBA</t>
  </si>
  <si>
    <t>CASTILLO 15X20X4 6 m</t>
  </si>
  <si>
    <t>FACHALETA FAST SET PININSULA</t>
  </si>
  <si>
    <t>FACHA</t>
  </si>
  <si>
    <t>ADHESIVO PEGA PIEDRA GRIS SACO DE 20 KG</t>
  </si>
  <si>
    <t>SELL</t>
  </si>
  <si>
    <t>BOMBA DE AGUA SUMERGIBLE</t>
  </si>
  <si>
    <t>TUB4</t>
  </si>
  <si>
    <t>CODO</t>
  </si>
  <si>
    <t>CODO PARA PVC 4" P/CEM</t>
  </si>
  <si>
    <t>TUBO PARA PVC 4" P/CEM</t>
  </si>
  <si>
    <t>TEE</t>
  </si>
  <si>
    <t>COPLE</t>
  </si>
  <si>
    <t>TEE PARA PVC 4" P/CEM</t>
  </si>
  <si>
    <t>COPLE PARA PVC 4" P/CEM</t>
  </si>
  <si>
    <t>PEGAMENTO PVC</t>
  </si>
  <si>
    <t>TAPON PARA PVC 4" P/CEM</t>
  </si>
  <si>
    <t>TAPON</t>
  </si>
  <si>
    <t>PEGAPVC</t>
  </si>
  <si>
    <t>LLAVEPAS</t>
  </si>
  <si>
    <t>LLAVE DE PASO 1/2"</t>
  </si>
  <si>
    <t>BA005</t>
  </si>
  <si>
    <t>SELLADOR ACRILICO BASE AGUA</t>
  </si>
  <si>
    <t>CONSTRUCCIÓN DE MURO CON LLORÓN CON BLOCK HUECO DE 0.20-0.20-0.40 ASENTADO CON MORTERO CEMENTO-ARENA EN PROPORCION 1:5, CON LOSETA Y FACHALETE EN EL MURO,INCLUYE: TRAZO Y EXCAVACIÓN, INSTALACIÓN ELECTRICA Y PLOMERIA.</t>
  </si>
  <si>
    <t>saco</t>
  </si>
  <si>
    <t>INSTALACIÓN HIDRAULICA PARA PROYECTO MURO LLORON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</si>
</sst>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00"/>
  </numFmts>
  <fonts count="10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7" tint="-0.499984740745262"/>
      <name val="Aptos Narrow"/>
      <family val="2"/>
      <scheme val="minor"/>
    </font>
    <font>
      <b/>
      <sz val="11"/>
      <color theme="7" tint="-0.499984740745262"/>
      <name val="Aptos Narrow"/>
      <family val="2"/>
      <scheme val="minor"/>
    </font>
    <font>
      <sz val="11"/>
      <color rgb="FFC00000"/>
      <name val="Aptos Narrow"/>
      <family val="2"/>
      <scheme val="minor"/>
    </font>
    <font>
      <u/>
      <sz val="11"/>
      <color theme="1"/>
      <name val="Aptos Narrow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E285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9">
    <xf numFmtId="0" fontId="0" fillId="0" borderId="0" xfId="0"/>
    <xf numFmtId="4" fontId="0" fillId="0" borderId="0" xfId="0" applyNumberFormat="1"/>
    <xf numFmtId="4" fontId="0" fillId="0" borderId="0" xfId="0" applyNumberFormat="1" applyAlignment="1">
      <alignment vertical="center"/>
    </xf>
    <xf numFmtId="4" fontId="0" fillId="0" borderId="1" xfId="0" applyNumberFormat="1" applyBorder="1"/>
    <xf numFmtId="4" fontId="4" fillId="0" borderId="0" xfId="0" applyNumberFormat="1" applyFont="1"/>
    <xf numFmtId="4" fontId="2" fillId="0" borderId="0" xfId="0" applyNumberFormat="1" applyFont="1"/>
    <xf numFmtId="4" fontId="2" fillId="0" borderId="2" xfId="0" applyNumberFormat="1" applyFont="1" applyBorder="1" applyAlignment="1">
      <alignment vertical="center"/>
    </xf>
    <xf numFmtId="4" fontId="2" fillId="0" borderId="0" xfId="0" applyNumberFormat="1" applyFont="1" applyAlignment="1">
      <alignment vertical="center"/>
    </xf>
    <xf numFmtId="4" fontId="0" fillId="0" borderId="0" xfId="0" applyNumberFormat="1" applyAlignment="1">
      <alignment horizontal="center"/>
    </xf>
    <xf numFmtId="4" fontId="0" fillId="0" borderId="0" xfId="0" applyNumberFormat="1" applyAlignment="1">
      <alignment vertical="top"/>
    </xf>
    <xf numFmtId="4" fontId="2" fillId="0" borderId="2" xfId="0" applyNumberFormat="1" applyFont="1" applyBorder="1" applyAlignment="1">
      <alignment horizontal="center" vertical="center"/>
    </xf>
    <xf numFmtId="4" fontId="4" fillId="0" borderId="0" xfId="0" applyNumberFormat="1" applyFont="1" applyAlignment="1">
      <alignment horizontal="center"/>
    </xf>
    <xf numFmtId="4" fontId="0" fillId="0" borderId="0" xfId="0" applyNumberFormat="1" applyAlignment="1">
      <alignment horizontal="center" vertical="top"/>
    </xf>
    <xf numFmtId="4" fontId="6" fillId="0" borderId="0" xfId="0" applyNumberFormat="1" applyFont="1" applyAlignment="1">
      <alignment vertical="top"/>
    </xf>
    <xf numFmtId="4" fontId="0" fillId="2" borderId="0" xfId="0" applyNumberFormat="1" applyFill="1"/>
    <xf numFmtId="4" fontId="4" fillId="2" borderId="0" xfId="0" applyNumberFormat="1" applyFont="1" applyFill="1"/>
    <xf numFmtId="4" fontId="4" fillId="2" borderId="0" xfId="0" applyNumberFormat="1" applyFont="1" applyFill="1" applyAlignment="1">
      <alignment horizontal="center"/>
    </xf>
    <xf numFmtId="4" fontId="6" fillId="2" borderId="0" xfId="0" applyNumberFormat="1" applyFont="1" applyFill="1"/>
    <xf numFmtId="4" fontId="4" fillId="3" borderId="0" xfId="0" applyNumberFormat="1" applyFont="1" applyFill="1"/>
    <xf numFmtId="4" fontId="0" fillId="3" borderId="0" xfId="0" applyNumberFormat="1" applyFill="1" applyAlignment="1">
      <alignment horizontal="center"/>
    </xf>
    <xf numFmtId="4" fontId="0" fillId="3" borderId="0" xfId="0" applyNumberFormat="1" applyFill="1"/>
    <xf numFmtId="4" fontId="6" fillId="3" borderId="0" xfId="0" applyNumberFormat="1" applyFont="1" applyFill="1"/>
    <xf numFmtId="10" fontId="4" fillId="3" borderId="0" xfId="1" applyNumberFormat="1" applyFont="1" applyFill="1"/>
    <xf numFmtId="4" fontId="5" fillId="3" borderId="0" xfId="0" applyNumberFormat="1" applyFont="1" applyFill="1"/>
    <xf numFmtId="4" fontId="2" fillId="3" borderId="0" xfId="0" applyNumberFormat="1" applyFont="1" applyFill="1" applyAlignment="1">
      <alignment horizontal="center"/>
    </xf>
    <xf numFmtId="10" fontId="5" fillId="3" borderId="0" xfId="1" applyNumberFormat="1" applyFont="1" applyFill="1"/>
    <xf numFmtId="0" fontId="0" fillId="3" borderId="0" xfId="0" applyFill="1"/>
    <xf numFmtId="10" fontId="0" fillId="3" borderId="0" xfId="1" applyNumberFormat="1" applyFont="1" applyFill="1"/>
    <xf numFmtId="0" fontId="0" fillId="2" borderId="0" xfId="0" applyFill="1"/>
    <xf numFmtId="10" fontId="0" fillId="2" borderId="0" xfId="0" applyNumberFormat="1" applyFill="1"/>
    <xf numFmtId="4" fontId="2" fillId="0" borderId="2" xfId="0" applyNumberFormat="1" applyFont="1" applyBorder="1" applyAlignment="1">
      <alignment vertical="center" wrapText="1"/>
    </xf>
    <xf numFmtId="4" fontId="2" fillId="0" borderId="2" xfId="0" applyNumberFormat="1" applyFont="1" applyBorder="1" applyAlignment="1">
      <alignment horizontal="center" vertical="center" wrapText="1"/>
    </xf>
    <xf numFmtId="0" fontId="0" fillId="4" borderId="0" xfId="0" applyFill="1"/>
    <xf numFmtId="2" fontId="0" fillId="4" borderId="0" xfId="0" applyNumberFormat="1" applyFill="1"/>
    <xf numFmtId="2" fontId="7" fillId="4" borderId="0" xfId="0" applyNumberFormat="1" applyFont="1" applyFill="1"/>
    <xf numFmtId="164" fontId="0" fillId="0" borderId="0" xfId="0" applyNumberFormat="1"/>
    <xf numFmtId="4" fontId="0" fillId="0" borderId="0" xfId="0" applyNumberFormat="1" applyAlignment="1">
      <alignment horizontal="left" vertical="top" wrapText="1"/>
    </xf>
    <xf numFmtId="3" fontId="0" fillId="0" borderId="0" xfId="0" applyNumberFormat="1"/>
    <xf numFmtId="4" fontId="4" fillId="0" borderId="0" xfId="0" applyNumberFormat="1" applyFont="1" applyFill="1"/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FFE285"/>
      <color rgb="FFE7F7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A095E3B5-9E81-7E77-A308-8ED1F6BC84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B95D80FC-B85F-4860-8991-1B57BAD1D3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0335DFFA-D4AE-475C-9752-BC3AF43B7B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4BD57977-98F1-4AF8-AEB5-69DAB429D0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02419127-1DEB-4BEC-B012-2CA0120B9C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xmlns="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2:I39"/>
  <sheetViews>
    <sheetView tabSelected="1" workbookViewId="0">
      <pane xSplit="8" ySplit="5" topLeftCell="I6" activePane="bottomRight" state="frozen"/>
      <selection activeCell="B13" sqref="B13"/>
      <selection pane="topRight" activeCell="B13" sqref="B13"/>
      <selection pane="bottomLeft" activeCell="B13" sqref="B13"/>
      <selection pane="bottomRight" activeCell="D20" sqref="D20"/>
    </sheetView>
  </sheetViews>
  <sheetFormatPr baseColWidth="10" defaultColWidth="11.625" defaultRowHeight="14.25"/>
  <cols>
    <col min="1" max="2" width="11.625" style="1"/>
    <col min="3" max="3" width="13.375" style="1" bestFit="1" customWidth="1"/>
    <col min="4" max="4" width="44" style="1" customWidth="1"/>
    <col min="5" max="5" width="11.625" style="8"/>
    <col min="6" max="16384" width="11.625" style="1"/>
  </cols>
  <sheetData>
    <row r="2" spans="1:9">
      <c r="E2" s="8" t="s">
        <v>71</v>
      </c>
    </row>
    <row r="5" spans="1:9" s="7" customFormat="1" ht="28.15" customHeight="1" thickBot="1">
      <c r="A5" s="6" t="s">
        <v>1</v>
      </c>
      <c r="B5" s="6" t="s">
        <v>0</v>
      </c>
      <c r="C5" s="6" t="s">
        <v>2</v>
      </c>
      <c r="D5" s="6" t="s">
        <v>3</v>
      </c>
      <c r="E5" s="10" t="s">
        <v>4</v>
      </c>
      <c r="F5" s="6" t="s">
        <v>5</v>
      </c>
      <c r="G5" s="6" t="s">
        <v>16</v>
      </c>
      <c r="H5" s="6" t="s">
        <v>17</v>
      </c>
    </row>
    <row r="6" spans="1:9" ht="30" customHeight="1">
      <c r="A6" s="9" t="s">
        <v>121</v>
      </c>
      <c r="B6" s="36" t="s">
        <v>155</v>
      </c>
      <c r="C6" s="36"/>
      <c r="D6" s="36"/>
      <c r="E6" s="12" t="s">
        <v>127</v>
      </c>
      <c r="F6" s="9"/>
      <c r="G6" s="9"/>
      <c r="H6" s="9">
        <f>H39</f>
        <v>34812.870000000003</v>
      </c>
    </row>
    <row r="8" spans="1:9">
      <c r="C8" s="1" t="s">
        <v>125</v>
      </c>
      <c r="D8" s="4" t="str" cm="1">
        <f t="array" ref="D8:F8">IFERROR(VLOOKUP(C8,MA!$A$6:$D$38,{2,3,4},0),IFERROR(VLOOKUP(C8,MO!$A$6:$D$26,{2,3,4},0),IFERROR(VLOOKUP(C8,MQ!$A$6:$D$26,{2,3,4},0),IFERROR(VLOOKUP(C8,BA!$A$6:$H$190,{2,5,8},0),{"No encontrado","X","X"}))))</f>
        <v>BLOCK HUECO 20 X 20 X 40 CM</v>
      </c>
      <c r="E8" s="11" t="str">
        <v>pza</v>
      </c>
      <c r="F8" s="4">
        <v>19.100000000000001</v>
      </c>
      <c r="G8" s="35">
        <f>75+50+10+10</f>
        <v>145</v>
      </c>
      <c r="H8" s="4">
        <f t="shared" ref="H8:H9" si="0">G8*F8</f>
        <v>2769.5</v>
      </c>
      <c r="I8" s="1">
        <v>1</v>
      </c>
    </row>
    <row r="9" spans="1:9">
      <c r="C9" s="1" t="s">
        <v>50</v>
      </c>
      <c r="D9" s="4" t="str" cm="1">
        <f t="array" ref="D9:F9">IFERROR(VLOOKUP(C9,MA!$A$6:$D$38,{2,3,4},0),IFERROR(VLOOKUP(C9,MO!$A$6:$D$26,{2,3,4},0),IFERROR(VLOOKUP(C9,MQ!$A$6:$D$26,{2,3,4},0),IFERROR(VLOOKUP(C9,BA!$A$6:$H$190,{2,5,8},0),{"No encontrado","X","X"}))))</f>
        <v>MORTERO CEMENTO-ARENA 1:5</v>
      </c>
      <c r="E9" s="11" t="str">
        <v>m3</v>
      </c>
      <c r="F9" s="4">
        <v>2752.62</v>
      </c>
      <c r="G9" s="35">
        <f>1.05*0.2-12*0.2*0.2*0.4</f>
        <v>1.7999999999999999E-2</v>
      </c>
      <c r="H9" s="4">
        <f>G9*F9</f>
        <v>49.55</v>
      </c>
    </row>
    <row r="10" spans="1:9">
      <c r="C10" s="1" t="s">
        <v>128</v>
      </c>
      <c r="D10" s="4" t="str" cm="1">
        <f t="array" ref="D10:F10">IFERROR(VLOOKUP(C10,MA!$A$6:$D$38,{2,3,4},0),IFERROR(VLOOKUP(C10,MO!$A$6:$D$26,{2,3,4},0),IFERROR(VLOOKUP(C10,MQ!$A$6:$D$26,{2,3,4},0),IFERROR(VLOOKUP(C10,BA!$A$6:$H$190,{2,5,8},0),{"No encontrado","X","X"}))))</f>
        <v>CASTILLO 15X20X4 6 m</v>
      </c>
      <c r="E10" s="11" t="str">
        <v>pza</v>
      </c>
      <c r="F10" s="4">
        <v>138</v>
      </c>
      <c r="G10" s="35">
        <v>4</v>
      </c>
      <c r="H10" s="4">
        <f t="shared" ref="H10:H20" si="1">G10*F10</f>
        <v>552</v>
      </c>
    </row>
    <row r="11" spans="1:9">
      <c r="C11" s="1" t="s">
        <v>135</v>
      </c>
      <c r="D11" s="4" t="str" cm="1">
        <f t="array" ref="D11:F11">IFERROR(VLOOKUP(C11,MA!$A$6:$D$38,{2,3,4},0),IFERROR(VLOOKUP(C11,MO!$A$6:$D$26,{2,3,4},0),IFERROR(VLOOKUP(C11,MQ!$A$6:$D$26,{2,3,4},0),IFERROR(VLOOKUP(C11,BA!$A$6:$H$190,{2,5,8},0),{"No encontrado","X","X"}))))</f>
        <v>FACHALETA FAST SET PININSULA</v>
      </c>
      <c r="E11" s="11" t="str">
        <v>m2</v>
      </c>
      <c r="F11" s="4">
        <v>846</v>
      </c>
      <c r="G11" s="35">
        <f>(2*5)+(0.2*3)++(0.2*3)*1.05</f>
        <v>11.23</v>
      </c>
      <c r="H11" s="4">
        <f t="shared" si="1"/>
        <v>9500.58</v>
      </c>
    </row>
    <row r="12" spans="1:9">
      <c r="C12" s="1" t="s">
        <v>130</v>
      </c>
      <c r="D12" s="4" t="str" cm="1">
        <f t="array" ref="D12:F12">IFERROR(VLOOKUP(C12,MA!$A$6:$D$38,{2,3,4},0),IFERROR(VLOOKUP(C12,MO!$A$6:$D$26,{2,3,4},0),IFERROR(VLOOKUP(C12,MQ!$A$6:$D$26,{2,3,4},0),IFERROR(VLOOKUP(C12,BA!$A$6:$H$190,{2,5,8},0),{"No encontrado","X","X"}))))</f>
        <v>LOSETA TIPO MADERA</v>
      </c>
      <c r="E12" s="11" t="str">
        <v>m2</v>
      </c>
      <c r="F12" s="4">
        <v>155</v>
      </c>
      <c r="G12" s="35">
        <f>(0.5*4)+(0.5*0.8)+(0.5*0.8)*1.05</f>
        <v>2.82</v>
      </c>
      <c r="H12" s="4">
        <f t="shared" si="1"/>
        <v>437.1</v>
      </c>
    </row>
    <row r="13" spans="1:9">
      <c r="C13" s="1" t="s">
        <v>129</v>
      </c>
      <c r="D13" s="4" t="str" cm="1">
        <f t="array" ref="D13:F13">IFERROR(VLOOKUP(C13,MA!$A$6:$D$38,{2,3,4},0),IFERROR(VLOOKUP(C13,MO!$A$6:$D$26,{2,3,4},0),IFERROR(VLOOKUP(C13,MQ!$A$6:$D$26,{2,3,4},0),IFERROR(VLOOKUP(C13,BA!$A$6:$H$190,{2,5,8},0),{"No encontrado","X","X"}))))</f>
        <v>ADHESIVO PEGA PIEDRA GRIS SACO DE 20 KG</v>
      </c>
      <c r="E13" s="11" t="str">
        <v>saco</v>
      </c>
      <c r="F13" s="4">
        <v>170</v>
      </c>
      <c r="G13" s="35">
        <f>((G11+G12)/3)*1.05</f>
        <v>4.9175000000000004</v>
      </c>
      <c r="H13" s="4">
        <f t="shared" ref="H13:H15" si="2">G13*F13</f>
        <v>835.98</v>
      </c>
    </row>
    <row r="14" spans="1:9">
      <c r="C14" s="1" t="s">
        <v>137</v>
      </c>
      <c r="D14" s="4" t="str" cm="1">
        <f t="array" ref="D14:F14">IFERROR(VLOOKUP(C14,MA!$A$6:$D$38,{2,3,4},0),IFERROR(VLOOKUP(C14,MO!$A$6:$D$26,{2,3,4},0),IFERROR(VLOOKUP(C14,MQ!$A$6:$D$26,{2,3,4},0),IFERROR(VLOOKUP(C14,BA!$A$6:$H$190,{2,5,8},0),{"No encontrado","X","X"}))))</f>
        <v>SELLADOR ACRILICO BASE AGUA</v>
      </c>
      <c r="E14" s="11" t="str">
        <v>Lt</v>
      </c>
      <c r="F14" s="4">
        <v>224</v>
      </c>
      <c r="G14" s="35">
        <f>((G11+G13)/4)*1.05</f>
        <v>4.2386999999999997</v>
      </c>
      <c r="H14" s="4">
        <f t="shared" si="2"/>
        <v>949.47</v>
      </c>
    </row>
    <row r="15" spans="1:9">
      <c r="C15" s="1" t="s">
        <v>132</v>
      </c>
      <c r="D15" s="4" t="str" cm="1">
        <f t="array" ref="D15:F15">IFERROR(VLOOKUP(C15,MA!$A$6:$D$38,{2,3,4},0),IFERROR(VLOOKUP(C15,MO!$A$6:$D$26,{2,3,4},0),IFERROR(VLOOKUP(C15,MQ!$A$6:$D$26,{2,3,4},0),IFERROR(VLOOKUP(C15,BA!$A$6:$H$190,{2,5,8},0),{"No encontrado","X","X"}))))</f>
        <v>BOMBA DE AGUA SUMERGIBLE</v>
      </c>
      <c r="E15" s="11" t="str">
        <v>pza</v>
      </c>
      <c r="F15" s="4">
        <v>880</v>
      </c>
      <c r="G15" s="37">
        <v>1</v>
      </c>
      <c r="H15" s="4">
        <f t="shared" si="2"/>
        <v>880</v>
      </c>
    </row>
    <row r="16" spans="1:9">
      <c r="D16" s="4"/>
      <c r="E16" s="11"/>
      <c r="F16" s="4"/>
      <c r="G16" s="35"/>
      <c r="H16" s="4"/>
    </row>
    <row r="17" spans="3:8">
      <c r="D17" s="4"/>
      <c r="E17" s="11"/>
      <c r="F17" s="4"/>
      <c r="G17" s="35"/>
      <c r="H17" s="4"/>
    </row>
    <row r="18" spans="3:8">
      <c r="C18" s="1" t="s">
        <v>65</v>
      </c>
      <c r="D18" s="38" t="str" cm="1">
        <f t="array" ref="D18:F18">IFERROR(VLOOKUP(C18,MA!$A$6:$D$38,{2,3,4},0),IFERROR(VLOOKUP(C18,MO!$A$6:$D$26,{2,3,4},0),IFERROR(VLOOKUP(C18,MQ!$A$6:$D$26,{2,3,4},0),IFERROR(VLOOKUP(C18,BA!$A$6:$H$190,{2,5,8},0),{"No encontrado","X","X"}))))</f>
        <v>CONCRETO F'c= 150 Kg/cm2 TMA 3/4" HECHO EN OBRA</v>
      </c>
      <c r="E18" s="11" t="str">
        <v>m3</v>
      </c>
      <c r="F18" s="4">
        <v>2472.62</v>
      </c>
      <c r="G18" s="1">
        <f>(0.3*0.8*4)*1.03</f>
        <v>0.99</v>
      </c>
      <c r="H18" s="4">
        <f t="shared" si="1"/>
        <v>2447.89</v>
      </c>
    </row>
    <row r="19" spans="3:8">
      <c r="C19" s="1" t="s">
        <v>115</v>
      </c>
      <c r="D19" s="38" t="str" cm="1">
        <f t="array" ref="D19:F19">IFERROR(VLOOKUP(C19,MA!$A$6:$D$38,{2,3,4},0),IFERROR(VLOOKUP(C19,MO!$A$6:$D$26,{2,3,4},0),IFERROR(VLOOKUP(C19,MQ!$A$6:$D$26,{2,3,4},0),IFERROR(VLOOKUP(C19,BA!$A$6:$H$190,{2,5,8},0),{"No encontrado","X","X"}))))</f>
        <v>CIMBRA COMUN</v>
      </c>
      <c r="E19" s="11" t="str">
        <v>m2</v>
      </c>
      <c r="F19" s="4">
        <v>430.45</v>
      </c>
      <c r="G19" s="35">
        <f>((0.15*3)*2)+((0.15*0.5)*2)</f>
        <v>1.05</v>
      </c>
      <c r="H19" s="4">
        <f t="shared" si="1"/>
        <v>451.97</v>
      </c>
    </row>
    <row r="20" spans="3:8">
      <c r="C20" s="1" t="s">
        <v>153</v>
      </c>
      <c r="D20" s="38" t="str" cm="1">
        <f t="array" ref="D20:F20">IFERROR(VLOOKUP(C20,MA!$A$6:$D$38,{2,3,4},0),IFERROR(VLOOKUP(C20,MO!$A$6:$D$26,{2,3,4},0),IFERROR(VLOOKUP(C20,MQ!$A$6:$D$26,{2,3,4},0),IFERROR(VLOOKUP(C20,BA!$A$6:$H$190,{2,5,8},0),{"No encontrado","X","X"}))))</f>
        <v>INSTALACIÓN HIDRAULICA PARA PROYECTO MURO LLORON</v>
      </c>
      <c r="E20" s="11" t="str">
        <v>pza</v>
      </c>
      <c r="F20" s="4">
        <v>1612.59</v>
      </c>
      <c r="G20" s="37">
        <v>1</v>
      </c>
      <c r="H20" s="4">
        <f t="shared" si="1"/>
        <v>1612.59</v>
      </c>
    </row>
    <row r="21" spans="3:8">
      <c r="D21" s="4"/>
    </row>
    <row r="22" spans="3:8">
      <c r="C22" s="1" t="s">
        <v>7</v>
      </c>
      <c r="D22" s="4" t="str" cm="1">
        <f t="array" ref="D22:F22">IFERROR(VLOOKUP(C22,MA!$A$6:$D$38,{2,3,4},0),IFERROR(VLOOKUP(C22,MO!$A$6:$D$26,{2,3,4},0),IFERROR(VLOOKUP(C22,MQ!$A$6:$D$26,{2,3,4},0),IFERROR(VLOOKUP(C22,BA!$A$6:$H$190,{2,5,8},0),{"No encontrado","X","X"}))))</f>
        <v>ALBAÑIL, OFICIAL</v>
      </c>
      <c r="E22" s="11" t="str">
        <v>JOR</v>
      </c>
      <c r="F22" s="4">
        <v>879.73</v>
      </c>
      <c r="G22" s="1">
        <v>1</v>
      </c>
      <c r="H22" s="4">
        <f t="shared" ref="H22:H23" si="3">G22*F22</f>
        <v>879.73</v>
      </c>
    </row>
    <row r="23" spans="3:8">
      <c r="C23" s="1" t="s">
        <v>10</v>
      </c>
      <c r="D23" s="4" t="str" cm="1">
        <f t="array" ref="D23:F23">IFERROR(VLOOKUP(C23,MA!$A$6:$D$38,{2,3,4},0),IFERROR(VLOOKUP(C23,MO!$A$6:$D$26,{2,3,4},0),IFERROR(VLOOKUP(C23,MQ!$A$6:$D$26,{2,3,4},0),IFERROR(VLOOKUP(C23,BA!$A$6:$H$190,{2,5,8},0),{"No encontrado","X","X"}))))</f>
        <v xml:space="preserve">AYUDANTE GENERAL </v>
      </c>
      <c r="E23" s="11" t="str">
        <v>JOR</v>
      </c>
      <c r="F23" s="4">
        <v>668.25</v>
      </c>
      <c r="G23" s="1">
        <v>1</v>
      </c>
      <c r="H23" s="4">
        <f t="shared" si="3"/>
        <v>668.25</v>
      </c>
    </row>
    <row r="24" spans="3:8">
      <c r="C24" s="1" t="s">
        <v>11</v>
      </c>
      <c r="D24" s="4" t="str" cm="1">
        <f t="array" ref="D24:F24">IFERROR(VLOOKUP(C24,MA!$A$6:$D$38,{2,3,4},0),IFERROR(VLOOKUP(C24,MO!$A$6:$D$26,{2,3,4},0),IFERROR(VLOOKUP(C24,MQ!$A$6:$D$26,{2,3,4},0),IFERROR(VLOOKUP(C24,BA!$A$6:$H$190,{2,5,8},0),{"No encontrado","X","X"}))))</f>
        <v>AZULEJERO, OFICIAL</v>
      </c>
      <c r="E24" s="11" t="str">
        <v>JOR</v>
      </c>
      <c r="F24" s="4">
        <v>930.82</v>
      </c>
      <c r="G24" s="1">
        <v>1</v>
      </c>
      <c r="H24" s="4">
        <f t="shared" ref="H24" si="4">G24*F24</f>
        <v>930.82</v>
      </c>
    </row>
    <row r="25" spans="3:8">
      <c r="D25" s="4"/>
      <c r="E25" s="11"/>
      <c r="F25" s="4"/>
      <c r="H25" s="4"/>
    </row>
    <row r="27" spans="3:8">
      <c r="C27" s="14" t="str">
        <f>k!$A$10</f>
        <v>HE001</v>
      </c>
      <c r="D27" s="15" t="str">
        <f>k!$B$10</f>
        <v>HERRAMIENTA MENOR</v>
      </c>
      <c r="E27" s="16" t="s">
        <v>31</v>
      </c>
      <c r="F27" s="17">
        <f>SUM(H22:H24)</f>
        <v>2478.8000000000002</v>
      </c>
      <c r="G27" s="15">
        <f>k!$D$10</f>
        <v>0.03</v>
      </c>
      <c r="H27" s="15">
        <f>G27*F27</f>
        <v>74.36</v>
      </c>
    </row>
    <row r="28" spans="3:8">
      <c r="C28" s="14" t="str">
        <f>k!$A$11</f>
        <v>HE002</v>
      </c>
      <c r="D28" s="15" t="str">
        <f>k!$B$11</f>
        <v>MANDO INTERMEDIO</v>
      </c>
      <c r="E28" s="16" t="s">
        <v>31</v>
      </c>
      <c r="F28" s="15">
        <f>F27</f>
        <v>2478.8000000000002</v>
      </c>
      <c r="G28" s="15">
        <f>k!$D$11</f>
        <v>0.1</v>
      </c>
      <c r="H28" s="15">
        <f>G28*F28</f>
        <v>247.88</v>
      </c>
    </row>
    <row r="29" spans="3:8">
      <c r="C29" s="14" t="str">
        <f>k!$A$12</f>
        <v>HE003</v>
      </c>
      <c r="D29" s="15" t="str">
        <f>k!$B$12</f>
        <v>EQUIPO DE SEGURIDAD</v>
      </c>
      <c r="E29" s="16" t="s">
        <v>31</v>
      </c>
      <c r="F29" s="15">
        <f t="shared" ref="F29:F31" si="5">F28</f>
        <v>2478.8000000000002</v>
      </c>
      <c r="G29" s="15">
        <f>k!$D$12</f>
        <v>0.01</v>
      </c>
      <c r="H29" s="15">
        <f>G29*F29</f>
        <v>24.79</v>
      </c>
    </row>
    <row r="30" spans="3:8">
      <c r="C30" s="14" t="str">
        <f>k!$A$13</f>
        <v>HE004</v>
      </c>
      <c r="D30" s="15" t="str">
        <f>k!$B$13</f>
        <v>PRESTACIONES S.S.</v>
      </c>
      <c r="E30" s="16" t="s">
        <v>31</v>
      </c>
      <c r="F30" s="15">
        <f t="shared" si="5"/>
        <v>2478.8000000000002</v>
      </c>
      <c r="G30" s="15">
        <f>k!$D$13</f>
        <v>0</v>
      </c>
      <c r="H30" s="15">
        <f>G30*F30</f>
        <v>0</v>
      </c>
    </row>
    <row r="31" spans="3:8">
      <c r="C31" s="14" t="str">
        <f>k!$A$14</f>
        <v>HE005</v>
      </c>
      <c r="D31" s="15" t="str">
        <f>k!$B$14</f>
        <v>IMPUESTO SOBRE NOMINA</v>
      </c>
      <c r="E31" s="16" t="s">
        <v>31</v>
      </c>
      <c r="F31" s="15">
        <f t="shared" si="5"/>
        <v>2478.8000000000002</v>
      </c>
      <c r="G31" s="15">
        <f>k!$D$14</f>
        <v>0</v>
      </c>
      <c r="H31" s="15">
        <f>G31*F31</f>
        <v>0</v>
      </c>
    </row>
    <row r="33" spans="1:8">
      <c r="C33" s="18" t="str">
        <f>k!$A$2</f>
        <v>CD</v>
      </c>
      <c r="D33" s="18" t="str">
        <f>k!$B$2</f>
        <v>COSTO DIRECTO</v>
      </c>
      <c r="E33" s="19"/>
      <c r="F33" s="20"/>
      <c r="G33" s="20"/>
      <c r="H33" s="20"/>
    </row>
    <row r="34" spans="1:8">
      <c r="C34" s="18" t="str">
        <f>k!$A$3</f>
        <v>IO</v>
      </c>
      <c r="D34" s="18" t="str">
        <f>k!$B$3</f>
        <v>INDIRECTOS OFICINA</v>
      </c>
      <c r="E34" s="19"/>
      <c r="F34" s="21">
        <f>SUM(H8:H31)</f>
        <v>23312.46</v>
      </c>
      <c r="G34" s="22">
        <f>k!$D$3</f>
        <v>0.15</v>
      </c>
      <c r="H34" s="18">
        <f>G34*F34</f>
        <v>3496.87</v>
      </c>
    </row>
    <row r="35" spans="1:8">
      <c r="C35" s="18" t="str">
        <f>k!$A$4</f>
        <v>IC</v>
      </c>
      <c r="D35" s="18" t="str">
        <f>k!$B$4</f>
        <v>INDIRECTOS DE CAMPO</v>
      </c>
      <c r="E35" s="19"/>
      <c r="F35" s="18">
        <f>F34</f>
        <v>23312.46</v>
      </c>
      <c r="G35" s="22">
        <f>k!$D$4</f>
        <v>0.2</v>
      </c>
      <c r="H35" s="18">
        <f>G35*F35</f>
        <v>4662.49</v>
      </c>
    </row>
    <row r="36" spans="1:8">
      <c r="C36" s="18" t="str">
        <f>k!$A$5</f>
        <v>FI</v>
      </c>
      <c r="D36" s="18" t="str">
        <f>k!$B$5</f>
        <v>FINANCIAMIENTO</v>
      </c>
      <c r="E36" s="19"/>
      <c r="F36" s="18">
        <f>F35+H34+H35</f>
        <v>31471.82</v>
      </c>
      <c r="G36" s="22">
        <f>k!$D$5</f>
        <v>5.5999999999999999E-3</v>
      </c>
      <c r="H36" s="18">
        <f>G36*F36</f>
        <v>176.24</v>
      </c>
    </row>
    <row r="37" spans="1:8">
      <c r="C37" s="18" t="str">
        <f>k!$A$6</f>
        <v>UT</v>
      </c>
      <c r="D37" s="18" t="str">
        <f>k!$B$6</f>
        <v>UTILIDAD</v>
      </c>
      <c r="E37" s="19"/>
      <c r="F37" s="18">
        <f>F36+H36</f>
        <v>31648.06</v>
      </c>
      <c r="G37" s="22">
        <f>k!$D$6</f>
        <v>0.1</v>
      </c>
      <c r="H37" s="18">
        <f>G37*F37</f>
        <v>3164.81</v>
      </c>
    </row>
    <row r="38" spans="1:8">
      <c r="C38" s="18" t="str">
        <f>k!$A$7</f>
        <v>CA</v>
      </c>
      <c r="D38" s="18" t="str">
        <f>k!$B$7</f>
        <v>CARGOS ADICIONALES</v>
      </c>
      <c r="E38" s="19"/>
      <c r="F38" s="18">
        <f>(F37+H37)/(1-G38)</f>
        <v>34812.870000000003</v>
      </c>
      <c r="G38" s="22">
        <f>k!$D$7</f>
        <v>0</v>
      </c>
      <c r="H38" s="18">
        <f>G38*F38</f>
        <v>0</v>
      </c>
    </row>
    <row r="39" spans="1:8" ht="15">
      <c r="A39" s="5"/>
      <c r="B39" s="5"/>
      <c r="C39" s="23" t="str">
        <f>k!$A$8</f>
        <v>PU</v>
      </c>
      <c r="D39" s="23" t="str">
        <f>k!$B$8</f>
        <v>PRECIO UNITARIO</v>
      </c>
      <c r="E39" s="24"/>
      <c r="F39" s="23"/>
      <c r="G39" s="25"/>
      <c r="H39" s="23">
        <f>SUM(H34:H38)+F34</f>
        <v>34812.870000000003</v>
      </c>
    </row>
  </sheetData>
  <mergeCells count="1">
    <mergeCell ref="B6:D6"/>
  </mergeCells>
  <phoneticPr fontId="3" type="noConversion"/>
  <pageMargins left="0.70866141732283472" right="0.70866141732283472" top="0.74803149606299213" bottom="0.74803149606299213" header="0.31496062992125984" footer="0.31496062992125984"/>
  <pageSetup scale="71" fitToHeight="0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D38"/>
  <sheetViews>
    <sheetView topLeftCell="A13" workbookViewId="0">
      <selection activeCell="C25" sqref="C25"/>
    </sheetView>
  </sheetViews>
  <sheetFormatPr baseColWidth="10" defaultColWidth="11.625" defaultRowHeight="14.25"/>
  <cols>
    <col min="1" max="1" width="11.625" style="1"/>
    <col min="2" max="2" width="37.125" style="1" customWidth="1"/>
    <col min="3" max="16384" width="11.625" style="1"/>
  </cols>
  <sheetData>
    <row r="5" spans="1:4" s="2" customFormat="1" ht="28.15" customHeight="1" thickBot="1">
      <c r="A5" s="30" t="s">
        <v>2</v>
      </c>
      <c r="B5" s="30" t="s">
        <v>3</v>
      </c>
      <c r="C5" s="31" t="s">
        <v>4</v>
      </c>
      <c r="D5" s="30" t="s">
        <v>5</v>
      </c>
    </row>
    <row r="6" spans="1:4">
      <c r="A6" s="1" t="s">
        <v>13</v>
      </c>
      <c r="B6" s="1" t="s">
        <v>13</v>
      </c>
      <c r="C6" s="1" t="s">
        <v>14</v>
      </c>
      <c r="D6" s="1">
        <v>2</v>
      </c>
    </row>
    <row r="7" spans="1:4">
      <c r="A7" s="1" t="s">
        <v>103</v>
      </c>
      <c r="B7" s="1" t="s">
        <v>19</v>
      </c>
      <c r="C7" s="1" t="s">
        <v>20</v>
      </c>
      <c r="D7" s="1">
        <v>10</v>
      </c>
    </row>
    <row r="8" spans="1:4">
      <c r="A8" s="1" t="s">
        <v>32</v>
      </c>
      <c r="B8" s="1" t="s">
        <v>32</v>
      </c>
      <c r="C8" s="1" t="s">
        <v>14</v>
      </c>
      <c r="D8" s="1">
        <v>36</v>
      </c>
    </row>
    <row r="9" spans="1:4">
      <c r="A9" s="1" t="s">
        <v>104</v>
      </c>
      <c r="B9" s="1" t="s">
        <v>49</v>
      </c>
      <c r="C9" s="1" t="s">
        <v>48</v>
      </c>
      <c r="D9" s="1">
        <v>450</v>
      </c>
    </row>
    <row r="10" spans="1:4">
      <c r="A10" s="1" t="s">
        <v>105</v>
      </c>
      <c r="B10" s="1" t="s">
        <v>52</v>
      </c>
      <c r="C10" s="1" t="s">
        <v>53</v>
      </c>
      <c r="D10" s="1">
        <v>2500</v>
      </c>
    </row>
    <row r="11" spans="1:4">
      <c r="A11" s="1" t="s">
        <v>106</v>
      </c>
      <c r="B11" s="1" t="s">
        <v>54</v>
      </c>
      <c r="C11" s="1" t="s">
        <v>48</v>
      </c>
      <c r="D11" s="1">
        <v>500</v>
      </c>
    </row>
    <row r="12" spans="1:4">
      <c r="A12" s="1" t="s">
        <v>55</v>
      </c>
      <c r="B12" s="1" t="s">
        <v>107</v>
      </c>
      <c r="C12" s="1" t="s">
        <v>48</v>
      </c>
      <c r="D12" s="1">
        <v>20</v>
      </c>
    </row>
    <row r="13" spans="1:4">
      <c r="A13" s="1" t="s">
        <v>108</v>
      </c>
      <c r="B13" s="1" t="s">
        <v>64</v>
      </c>
      <c r="C13" s="1" t="s">
        <v>48</v>
      </c>
      <c r="D13" s="1">
        <v>600</v>
      </c>
    </row>
    <row r="14" spans="1:4">
      <c r="A14" s="1" t="s">
        <v>109</v>
      </c>
      <c r="B14" s="1" t="s">
        <v>67</v>
      </c>
      <c r="C14" s="1" t="s">
        <v>14</v>
      </c>
      <c r="D14" s="1">
        <v>18</v>
      </c>
    </row>
    <row r="15" spans="1:4">
      <c r="A15" s="1" t="s">
        <v>110</v>
      </c>
      <c r="B15" s="1" t="s">
        <v>68</v>
      </c>
      <c r="C15" s="1" t="s">
        <v>14</v>
      </c>
      <c r="D15" s="1">
        <v>22</v>
      </c>
    </row>
    <row r="16" spans="1:4">
      <c r="A16" s="1" t="s">
        <v>111</v>
      </c>
      <c r="B16" s="1" t="s">
        <v>69</v>
      </c>
      <c r="C16" s="1" t="s">
        <v>70</v>
      </c>
      <c r="D16" s="1">
        <v>45</v>
      </c>
    </row>
    <row r="17" spans="1:4">
      <c r="A17" s="1" t="s">
        <v>113</v>
      </c>
      <c r="B17" s="1" t="s">
        <v>114</v>
      </c>
      <c r="C17" s="1" t="s">
        <v>70</v>
      </c>
      <c r="D17" s="1">
        <f>2154/1.16/19</f>
        <v>97.73</v>
      </c>
    </row>
    <row r="18" spans="1:4">
      <c r="A18" s="1" t="s">
        <v>116</v>
      </c>
      <c r="B18" s="1" t="s">
        <v>117</v>
      </c>
      <c r="C18" s="1" t="s">
        <v>14</v>
      </c>
      <c r="D18" s="1">
        <v>16</v>
      </c>
    </row>
    <row r="19" spans="1:4">
      <c r="A19" s="1" t="s">
        <v>119</v>
      </c>
      <c r="B19" s="1" t="s">
        <v>120</v>
      </c>
      <c r="C19" s="1" t="s">
        <v>70</v>
      </c>
      <c r="D19" s="1">
        <f>148/1.16</f>
        <v>127.59</v>
      </c>
    </row>
    <row r="20" spans="1:4">
      <c r="A20" s="1" t="s">
        <v>124</v>
      </c>
      <c r="B20" s="1" t="s">
        <v>122</v>
      </c>
      <c r="C20" s="1" t="s">
        <v>123</v>
      </c>
      <c r="D20" s="1">
        <v>3000</v>
      </c>
    </row>
    <row r="21" spans="1:4">
      <c r="A21" s="1" t="s">
        <v>125</v>
      </c>
      <c r="B21" s="1" t="s">
        <v>126</v>
      </c>
      <c r="C21" s="1" t="s">
        <v>127</v>
      </c>
      <c r="D21" s="1">
        <v>19.100000000000001</v>
      </c>
    </row>
    <row r="22" spans="1:4">
      <c r="A22" s="1" t="s">
        <v>128</v>
      </c>
      <c r="B22" s="1" t="s">
        <v>133</v>
      </c>
      <c r="C22" s="1" t="s">
        <v>127</v>
      </c>
      <c r="D22" s="1">
        <v>138</v>
      </c>
    </row>
    <row r="23" spans="1:4">
      <c r="A23" s="1" t="s">
        <v>135</v>
      </c>
      <c r="B23" s="1" t="s">
        <v>134</v>
      </c>
      <c r="C23" s="1" t="s">
        <v>47</v>
      </c>
      <c r="D23" s="1">
        <v>846</v>
      </c>
    </row>
    <row r="24" spans="1:4">
      <c r="A24" s="1" t="s">
        <v>129</v>
      </c>
      <c r="B24" s="1" t="s">
        <v>136</v>
      </c>
      <c r="C24" s="1" t="s">
        <v>156</v>
      </c>
      <c r="D24" s="1">
        <v>170</v>
      </c>
    </row>
    <row r="25" spans="1:4">
      <c r="A25" s="1" t="s">
        <v>137</v>
      </c>
      <c r="B25" s="1" t="s">
        <v>154</v>
      </c>
      <c r="C25" s="1" t="s">
        <v>70</v>
      </c>
      <c r="D25" s="1">
        <v>224</v>
      </c>
    </row>
    <row r="26" spans="1:4">
      <c r="A26" s="1" t="s">
        <v>130</v>
      </c>
      <c r="B26" s="1" t="s">
        <v>131</v>
      </c>
      <c r="C26" s="1" t="s">
        <v>47</v>
      </c>
      <c r="D26" s="1">
        <v>155</v>
      </c>
    </row>
    <row r="27" spans="1:4">
      <c r="A27" s="1" t="s">
        <v>132</v>
      </c>
      <c r="B27" s="1" t="s">
        <v>138</v>
      </c>
      <c r="C27" s="1" t="s">
        <v>127</v>
      </c>
      <c r="D27" s="1">
        <v>880</v>
      </c>
    </row>
    <row r="28" spans="1:4">
      <c r="A28" s="1" t="s">
        <v>139</v>
      </c>
      <c r="B28" s="1" t="s">
        <v>142</v>
      </c>
      <c r="C28" s="1" t="s">
        <v>118</v>
      </c>
      <c r="D28" s="1">
        <f>831.4/6</f>
        <v>138.57</v>
      </c>
    </row>
    <row r="29" spans="1:4">
      <c r="A29" s="1" t="s">
        <v>140</v>
      </c>
      <c r="B29" s="1" t="s">
        <v>141</v>
      </c>
      <c r="C29" s="1" t="s">
        <v>127</v>
      </c>
      <c r="D29" s="1">
        <v>196.68</v>
      </c>
    </row>
    <row r="30" spans="1:4">
      <c r="A30" s="1" t="s">
        <v>143</v>
      </c>
      <c r="B30" s="1" t="s">
        <v>145</v>
      </c>
      <c r="C30" s="1" t="s">
        <v>127</v>
      </c>
      <c r="D30" s="1">
        <v>293.05</v>
      </c>
    </row>
    <row r="31" spans="1:4">
      <c r="A31" s="1" t="s">
        <v>144</v>
      </c>
      <c r="B31" s="1" t="s">
        <v>146</v>
      </c>
      <c r="C31" s="1" t="s">
        <v>127</v>
      </c>
      <c r="D31" s="1">
        <v>90.31</v>
      </c>
    </row>
    <row r="32" spans="1:4">
      <c r="A32" s="1" t="s">
        <v>149</v>
      </c>
      <c r="B32" s="1" t="s">
        <v>148</v>
      </c>
      <c r="C32" s="1" t="s">
        <v>127</v>
      </c>
      <c r="D32" s="1">
        <v>94.87</v>
      </c>
    </row>
    <row r="33" spans="1:4">
      <c r="A33" s="1" t="s">
        <v>150</v>
      </c>
      <c r="B33" s="1" t="s">
        <v>147</v>
      </c>
      <c r="C33" s="1" t="s">
        <v>70</v>
      </c>
      <c r="D33" s="1">
        <v>91.31</v>
      </c>
    </row>
    <row r="34" spans="1:4">
      <c r="A34" s="1" t="s">
        <v>151</v>
      </c>
      <c r="B34" s="1" t="s">
        <v>152</v>
      </c>
      <c r="C34" s="1" t="s">
        <v>127</v>
      </c>
      <c r="D34" s="1">
        <v>50</v>
      </c>
    </row>
    <row r="38" spans="1:4">
      <c r="A38" s="3" t="s">
        <v>18</v>
      </c>
      <c r="B38" s="3"/>
      <c r="C38" s="3"/>
      <c r="D38" s="3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D26"/>
  <sheetViews>
    <sheetView workbookViewId="0">
      <selection activeCell="E11" sqref="E11"/>
    </sheetView>
  </sheetViews>
  <sheetFormatPr baseColWidth="10" defaultColWidth="11.625" defaultRowHeight="14.25"/>
  <cols>
    <col min="1" max="1" width="11.625" style="1"/>
    <col min="2" max="2" width="36.125" style="1" customWidth="1"/>
    <col min="3" max="16384" width="11.625" style="1"/>
  </cols>
  <sheetData>
    <row r="5" spans="1:4" s="2" customFormat="1" ht="28.15" customHeight="1">
      <c r="A5" s="2" t="s">
        <v>6</v>
      </c>
      <c r="B5" s="2" t="s">
        <v>3</v>
      </c>
      <c r="C5" s="2" t="s">
        <v>4</v>
      </c>
      <c r="D5" s="2" t="s">
        <v>5</v>
      </c>
    </row>
    <row r="6" spans="1:4">
      <c r="A6" s="1" t="s">
        <v>7</v>
      </c>
      <c r="B6" s="1" t="s">
        <v>74</v>
      </c>
      <c r="C6" s="1" t="s">
        <v>9</v>
      </c>
      <c r="D6" s="1">
        <v>879.73</v>
      </c>
    </row>
    <row r="7" spans="1:4">
      <c r="A7" s="1" t="s">
        <v>10</v>
      </c>
      <c r="B7" s="1" t="s">
        <v>99</v>
      </c>
      <c r="C7" s="1" t="s">
        <v>9</v>
      </c>
      <c r="D7" s="1">
        <v>668.25</v>
      </c>
    </row>
    <row r="8" spans="1:4">
      <c r="A8" s="1" t="s">
        <v>11</v>
      </c>
      <c r="B8" s="1" t="s">
        <v>75</v>
      </c>
      <c r="C8" s="1" t="s">
        <v>9</v>
      </c>
      <c r="D8" s="1">
        <v>930.82</v>
      </c>
    </row>
    <row r="9" spans="1:4">
      <c r="A9" s="1" t="s">
        <v>12</v>
      </c>
      <c r="B9" s="1" t="s">
        <v>76</v>
      </c>
      <c r="C9" s="1" t="s">
        <v>9</v>
      </c>
      <c r="D9" s="1">
        <v>949.25</v>
      </c>
    </row>
    <row r="10" spans="1:4">
      <c r="A10" s="1" t="s">
        <v>87</v>
      </c>
      <c r="B10" s="1" t="s">
        <v>77</v>
      </c>
      <c r="C10" s="1" t="s">
        <v>9</v>
      </c>
      <c r="D10" s="1">
        <v>821.23</v>
      </c>
    </row>
    <row r="11" spans="1:4">
      <c r="A11" s="1" t="s">
        <v>88</v>
      </c>
      <c r="B11" s="1" t="s">
        <v>78</v>
      </c>
      <c r="C11" s="1" t="s">
        <v>9</v>
      </c>
      <c r="D11" s="1">
        <v>930.82</v>
      </c>
    </row>
    <row r="12" spans="1:4">
      <c r="A12" s="1" t="s">
        <v>89</v>
      </c>
      <c r="B12" s="1" t="s">
        <v>79</v>
      </c>
      <c r="C12" s="1" t="s">
        <v>9</v>
      </c>
      <c r="D12" s="1">
        <v>670.82</v>
      </c>
    </row>
    <row r="13" spans="1:4">
      <c r="A13" s="1" t="s">
        <v>90</v>
      </c>
      <c r="B13" s="1" t="s">
        <v>100</v>
      </c>
      <c r="C13" s="1" t="s">
        <v>9</v>
      </c>
      <c r="D13" s="1">
        <v>949.25</v>
      </c>
    </row>
    <row r="14" spans="1:4">
      <c r="A14" s="1" t="s">
        <v>91</v>
      </c>
      <c r="B14" s="1" t="s">
        <v>80</v>
      </c>
      <c r="C14" s="1" t="s">
        <v>9</v>
      </c>
      <c r="D14" s="1">
        <v>986.37</v>
      </c>
    </row>
    <row r="15" spans="1:4">
      <c r="A15" s="1" t="s">
        <v>92</v>
      </c>
      <c r="B15" s="1" t="s">
        <v>81</v>
      </c>
      <c r="C15" s="1" t="s">
        <v>9</v>
      </c>
      <c r="D15" s="1">
        <v>1066.05</v>
      </c>
    </row>
    <row r="16" spans="1:4">
      <c r="A16" s="1" t="s">
        <v>93</v>
      </c>
      <c r="B16" s="1" t="s">
        <v>82</v>
      </c>
      <c r="C16" s="1" t="s">
        <v>9</v>
      </c>
      <c r="D16" s="1">
        <v>1331.37</v>
      </c>
    </row>
    <row r="17" spans="1:4">
      <c r="A17" s="1" t="s">
        <v>94</v>
      </c>
      <c r="B17" s="1" t="s">
        <v>8</v>
      </c>
      <c r="C17" s="1" t="s">
        <v>9</v>
      </c>
      <c r="D17" s="1">
        <v>638.26</v>
      </c>
    </row>
    <row r="18" spans="1:4">
      <c r="A18" s="1" t="s">
        <v>95</v>
      </c>
      <c r="B18" s="1" t="s">
        <v>83</v>
      </c>
      <c r="C18" s="1" t="s">
        <v>9</v>
      </c>
      <c r="D18" s="1">
        <v>879.7</v>
      </c>
    </row>
    <row r="19" spans="1:4">
      <c r="A19" s="1" t="s">
        <v>96</v>
      </c>
      <c r="B19" s="1" t="s">
        <v>84</v>
      </c>
      <c r="C19" s="1" t="s">
        <v>9</v>
      </c>
      <c r="D19" s="1">
        <v>914.67</v>
      </c>
    </row>
    <row r="20" spans="1:4">
      <c r="A20" s="1" t="s">
        <v>97</v>
      </c>
      <c r="B20" s="1" t="s">
        <v>85</v>
      </c>
      <c r="C20" s="1" t="s">
        <v>9</v>
      </c>
      <c r="D20" s="1">
        <v>660.36</v>
      </c>
    </row>
    <row r="21" spans="1:4">
      <c r="A21" s="1" t="s">
        <v>98</v>
      </c>
      <c r="B21" s="1" t="s">
        <v>86</v>
      </c>
      <c r="C21" s="1" t="s">
        <v>9</v>
      </c>
      <c r="D21" s="1">
        <v>952.54</v>
      </c>
    </row>
    <row r="22" spans="1:4">
      <c r="A22" s="1" t="s">
        <v>101</v>
      </c>
      <c r="B22" s="1" t="s">
        <v>102</v>
      </c>
      <c r="C22" s="1" t="s">
        <v>9</v>
      </c>
      <c r="D22" s="1">
        <v>1093.26</v>
      </c>
    </row>
    <row r="26" spans="1:4">
      <c r="A26" s="3" t="s">
        <v>18</v>
      </c>
      <c r="B26" s="3"/>
      <c r="C26" s="3"/>
      <c r="D26" s="3"/>
    </row>
  </sheetData>
  <phoneticPr fontId="3" type="noConversion"/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26"/>
  <sheetViews>
    <sheetView workbookViewId="0">
      <selection activeCell="E20" sqref="E20"/>
    </sheetView>
  </sheetViews>
  <sheetFormatPr baseColWidth="10" defaultColWidth="11.625" defaultRowHeight="14.25"/>
  <cols>
    <col min="1" max="1" width="11.625" style="1"/>
    <col min="2" max="2" width="36.125" style="1" customWidth="1"/>
    <col min="3" max="16384" width="11.625" style="1"/>
  </cols>
  <sheetData>
    <row r="2" spans="1:4">
      <c r="C2" s="1" t="s">
        <v>58</v>
      </c>
    </row>
    <row r="5" spans="1:4" s="2" customFormat="1" ht="28.15" customHeight="1">
      <c r="A5" s="2" t="s">
        <v>57</v>
      </c>
      <c r="B5" s="2" t="s">
        <v>3</v>
      </c>
      <c r="C5" s="2" t="s">
        <v>4</v>
      </c>
      <c r="D5" s="2" t="s">
        <v>5</v>
      </c>
    </row>
    <row r="6" spans="1:4">
      <c r="A6" s="1" t="s">
        <v>56</v>
      </c>
      <c r="B6" s="1" t="s">
        <v>60</v>
      </c>
      <c r="C6" s="1" t="s">
        <v>59</v>
      </c>
      <c r="D6" s="1">
        <v>250</v>
      </c>
    </row>
    <row r="26" spans="1:4">
      <c r="A26" s="3" t="s">
        <v>18</v>
      </c>
      <c r="B26" s="3"/>
      <c r="C26" s="3"/>
      <c r="D26" s="3"/>
    </row>
  </sheetData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2:H190"/>
  <sheetViews>
    <sheetView workbookViewId="0">
      <pane xSplit="8" ySplit="5" topLeftCell="I63" activePane="bottomRight" state="frozen"/>
      <selection pane="topRight" activeCell="I1" sqref="I1"/>
      <selection pane="bottomLeft" activeCell="A6" sqref="A6"/>
      <selection pane="bottomRight" activeCell="E68" sqref="E68"/>
    </sheetView>
  </sheetViews>
  <sheetFormatPr baseColWidth="10" defaultColWidth="11.625" defaultRowHeight="14.25"/>
  <cols>
    <col min="1" max="2" width="11.625" style="1"/>
    <col min="3" max="3" width="13.375" style="1" bestFit="1" customWidth="1"/>
    <col min="4" max="4" width="44" style="1" customWidth="1"/>
    <col min="5" max="5" width="11.625" style="8"/>
    <col min="6" max="16384" width="11.625" style="1"/>
  </cols>
  <sheetData>
    <row r="2" spans="1:8">
      <c r="E2" s="8" t="s">
        <v>61</v>
      </c>
    </row>
    <row r="5" spans="1:8" s="7" customFormat="1" ht="28.15" customHeight="1" thickBot="1">
      <c r="A5" s="6" t="s">
        <v>1</v>
      </c>
      <c r="B5" s="6" t="s">
        <v>0</v>
      </c>
      <c r="C5" s="6" t="s">
        <v>2</v>
      </c>
      <c r="D5" s="6" t="s">
        <v>3</v>
      </c>
      <c r="E5" s="10" t="s">
        <v>4</v>
      </c>
      <c r="F5" s="6" t="s">
        <v>5</v>
      </c>
      <c r="G5" s="6" t="s">
        <v>16</v>
      </c>
      <c r="H5" s="6" t="s">
        <v>17</v>
      </c>
    </row>
    <row r="6" spans="1:8" s="9" customFormat="1" ht="47.45" customHeight="1">
      <c r="A6" s="9" t="s">
        <v>50</v>
      </c>
      <c r="B6" s="9" t="s">
        <v>51</v>
      </c>
      <c r="E6" s="12" t="s">
        <v>48</v>
      </c>
      <c r="H6" s="13">
        <f>SUM(H7:H17)</f>
        <v>2752.62</v>
      </c>
    </row>
    <row r="7" spans="1:8">
      <c r="C7" s="1" t="s">
        <v>105</v>
      </c>
      <c r="D7" s="4" t="str" cm="1">
        <f t="array" ref="D7:F7">IFERROR(VLOOKUP(C7,MA!$A$6:$D$38,{2,3,4},0),IFERROR(VLOOKUP(C7,MO!$A$6:$D$26,{2,3,4},0),IFERROR(VLOOKUP(C7,MQ!$A$6:$D$26,{2,3,4},0),IFERROR(VLOOKUP(C7,BA!$A$6:$H$190,{2,5,8},0),{"No encontrado","X","X"}))))</f>
        <v>CEMENTO GRIS EN SACO</v>
      </c>
      <c r="E7" s="11" t="str">
        <v>Ton</v>
      </c>
      <c r="F7" s="4">
        <v>2500</v>
      </c>
      <c r="G7" s="1">
        <v>0.5</v>
      </c>
      <c r="H7" s="4">
        <f>G7*F7</f>
        <v>1250</v>
      </c>
    </row>
    <row r="8" spans="1:8">
      <c r="C8" s="1" t="s">
        <v>106</v>
      </c>
      <c r="D8" s="4" t="str" cm="1">
        <f t="array" ref="D8:F8">IFERROR(VLOOKUP(C8,MA!$A$6:$D$38,{2,3,4},0),IFERROR(VLOOKUP(C8,MO!$A$6:$D$26,{2,3,4},0),IFERROR(VLOOKUP(C8,MQ!$A$6:$D$26,{2,3,4},0),IFERROR(VLOOKUP(C8,BA!$A$6:$H$190,{2,5,8},0),{"No encontrado","X","X"}))))</f>
        <v>ARENA DE RIO L.A.B. EN OBRA</v>
      </c>
      <c r="E8" s="11" t="str">
        <v>m3</v>
      </c>
      <c r="F8" s="4">
        <v>500</v>
      </c>
      <c r="G8" s="1">
        <v>1.03</v>
      </c>
      <c r="H8" s="4">
        <f>G8*F8</f>
        <v>515</v>
      </c>
    </row>
    <row r="9" spans="1:8">
      <c r="C9" s="1" t="s">
        <v>55</v>
      </c>
      <c r="D9" s="4" t="str" cm="1">
        <f t="array" ref="D9:F9">IFERROR(VLOOKUP(C9,MA!$A$6:$D$38,{2,3,4},0),IFERROR(VLOOKUP(C9,MO!$A$6:$D$26,{2,3,4},0),IFERROR(VLOOKUP(C9,MQ!$A$6:$D$26,{2,3,4},0),IFERROR(VLOOKUP(C9,BA!$A$6:$H$190,{2,5,8},0),{"No encontrado","X","X"}))))</f>
        <v>AGUA EN PIPA</v>
      </c>
      <c r="E9" s="11" t="str">
        <v>m3</v>
      </c>
      <c r="F9" s="4">
        <v>20</v>
      </c>
      <c r="G9" s="1">
        <v>0.5</v>
      </c>
      <c r="H9" s="4">
        <f>G9*F9</f>
        <v>10</v>
      </c>
    </row>
    <row r="10" spans="1:8">
      <c r="D10" s="4"/>
      <c r="E10" s="11"/>
    </row>
    <row r="11" spans="1:8">
      <c r="C11" s="1" t="s">
        <v>94</v>
      </c>
      <c r="D11" s="4" t="str" cm="1">
        <f t="array" ref="D11:F11">IFERROR(VLOOKUP(C11,MA!$A$6:$D$38,{2,3,4},0),IFERROR(VLOOKUP(C11,MO!$A$6:$D$26,{2,3,4},0),IFERROR(VLOOKUP(C11,MQ!$A$6:$D$26,{2,3,4},0),IFERROR(VLOOKUP(C11,BA!$A$6:$H$190,{2,5,8},0),{"No encontrado","X","X"}))))</f>
        <v>PEON</v>
      </c>
      <c r="E11" s="11" t="str">
        <v>JOR</v>
      </c>
      <c r="F11" s="4">
        <v>638.26</v>
      </c>
      <c r="G11" s="1">
        <f>8/8</f>
        <v>1</v>
      </c>
      <c r="H11" s="4">
        <f>G11*F11</f>
        <v>638.26</v>
      </c>
    </row>
    <row r="12" spans="1:8">
      <c r="D12" s="4"/>
      <c r="E12" s="11"/>
    </row>
    <row r="13" spans="1:8">
      <c r="C13" s="14" t="str">
        <f>k!$A$10</f>
        <v>HE001</v>
      </c>
      <c r="D13" s="15" t="str">
        <f>k!$B$10</f>
        <v>HERRAMIENTA MENOR</v>
      </c>
      <c r="E13" s="16" t="s">
        <v>31</v>
      </c>
      <c r="F13" s="17">
        <f>SUM(H10:H11)</f>
        <v>638.26</v>
      </c>
      <c r="G13" s="15">
        <f>k!$D$10</f>
        <v>0.03</v>
      </c>
      <c r="H13" s="15">
        <f>G13*F13</f>
        <v>19.149999999999999</v>
      </c>
    </row>
    <row r="14" spans="1:8">
      <c r="C14" s="14" t="str">
        <f>k!$A$11</f>
        <v>HE002</v>
      </c>
      <c r="D14" s="15" t="str">
        <f>k!$B$11</f>
        <v>MANDO INTERMEDIO</v>
      </c>
      <c r="E14" s="16" t="s">
        <v>31</v>
      </c>
      <c r="F14" s="15">
        <f>F13</f>
        <v>638.26</v>
      </c>
      <c r="G14" s="15">
        <f>k!$D$11</f>
        <v>0.1</v>
      </c>
      <c r="H14" s="15">
        <f>G14*F14</f>
        <v>63.83</v>
      </c>
    </row>
    <row r="15" spans="1:8">
      <c r="C15" s="14" t="str">
        <f>k!$A$12</f>
        <v>HE003</v>
      </c>
      <c r="D15" s="15" t="str">
        <f>k!$B$12</f>
        <v>EQUIPO DE SEGURIDAD</v>
      </c>
      <c r="E15" s="16" t="s">
        <v>31</v>
      </c>
      <c r="F15" s="15">
        <f t="shared" ref="F15" si="0">F14</f>
        <v>638.26</v>
      </c>
      <c r="G15" s="15">
        <f>k!$D$12</f>
        <v>0.01</v>
      </c>
      <c r="H15" s="15">
        <f>G15*F15</f>
        <v>6.38</v>
      </c>
    </row>
    <row r="16" spans="1:8">
      <c r="D16" s="4"/>
      <c r="E16" s="11"/>
      <c r="F16" s="4"/>
      <c r="H16" s="4"/>
    </row>
    <row r="17" spans="1:8">
      <c r="C17" s="1" t="s">
        <v>56</v>
      </c>
      <c r="D17" s="4" t="str" cm="1">
        <f t="array" ref="D17:F17">IFERROR(VLOOKUP(C17,MA!$A$6:$D$38,{2,3,4},0),IFERROR(VLOOKUP(C17,MO!$A$6:$D$26,{2,3,4},0),IFERROR(VLOOKUP(C17,MQ!$A$6:$D$26,{2,3,4},0),IFERROR(VLOOKUP(C17,BA!$A$6:$H$190,{2,5,8},0),{"No encontrado","X","X"}))))</f>
        <v>REVOLVEDORA 1 SACO</v>
      </c>
      <c r="E17" s="11" t="str">
        <v>Hr</v>
      </c>
      <c r="F17" s="4">
        <v>250</v>
      </c>
      <c r="G17" s="1">
        <f>8/8</f>
        <v>1</v>
      </c>
      <c r="H17" s="4">
        <f>G17*F17</f>
        <v>250</v>
      </c>
    </row>
    <row r="18" spans="1:8">
      <c r="D18" s="4"/>
      <c r="E18" s="11"/>
      <c r="F18" s="4"/>
      <c r="H18" s="4"/>
    </row>
    <row r="19" spans="1:8">
      <c r="D19" s="4"/>
      <c r="E19" s="11"/>
      <c r="F19" s="4"/>
      <c r="H19" s="4"/>
    </row>
    <row r="21" spans="1:8">
      <c r="A21" s="9" t="s">
        <v>62</v>
      </c>
      <c r="B21" s="9" t="s">
        <v>63</v>
      </c>
      <c r="C21" s="9"/>
      <c r="D21" s="9"/>
      <c r="E21" s="12" t="s">
        <v>48</v>
      </c>
      <c r="F21" s="9"/>
      <c r="G21" s="9"/>
      <c r="H21" s="13">
        <f>SUM(H22:H33)</f>
        <v>2666.62</v>
      </c>
    </row>
    <row r="22" spans="1:8">
      <c r="C22" s="1" t="s">
        <v>105</v>
      </c>
      <c r="D22" s="4" t="str" cm="1">
        <f t="array" ref="D22:F22">IFERROR(VLOOKUP(C22,MA!$A$6:$D$38,{2,3,4},0),IFERROR(VLOOKUP(C22,MO!$A$6:$D$26,{2,3,4},0),IFERROR(VLOOKUP(C22,MQ!$A$6:$D$26,{2,3,4},0),IFERROR(VLOOKUP(C22,BA!$A$6:$H$190,{2,5,8},0),{"No encontrado","X","X"}))))</f>
        <v>CEMENTO GRIS EN SACO</v>
      </c>
      <c r="E22" s="11" t="str">
        <v>Ton</v>
      </c>
      <c r="F22" s="4">
        <v>2500</v>
      </c>
      <c r="G22" s="1">
        <v>0.41</v>
      </c>
      <c r="H22" s="4">
        <f t="shared" ref="H22:H25" si="1">G22*F22</f>
        <v>1025</v>
      </c>
    </row>
    <row r="23" spans="1:8">
      <c r="C23" s="1" t="s">
        <v>106</v>
      </c>
      <c r="D23" s="4" t="str" cm="1">
        <f t="array" ref="D23:F23">IFERROR(VLOOKUP(C23,MA!$A$6:$D$38,{2,3,4},0),IFERROR(VLOOKUP(C23,MO!$A$6:$D$26,{2,3,4},0),IFERROR(VLOOKUP(C23,MQ!$A$6:$D$26,{2,3,4},0),IFERROR(VLOOKUP(C23,BA!$A$6:$H$190,{2,5,8},0),{"No encontrado","X","X"}))))</f>
        <v>ARENA DE RIO L.A.B. EN OBRA</v>
      </c>
      <c r="E23" s="11" t="str">
        <v>m3</v>
      </c>
      <c r="F23" s="4">
        <v>500</v>
      </c>
      <c r="G23" s="1">
        <v>0.54</v>
      </c>
      <c r="H23" s="4">
        <f t="shared" si="1"/>
        <v>270</v>
      </c>
    </row>
    <row r="24" spans="1:8">
      <c r="C24" s="1" t="s">
        <v>108</v>
      </c>
      <c r="D24" s="4" t="str" cm="1">
        <f t="array" ref="D24:F24">IFERROR(VLOOKUP(C24,MA!$A$6:$D$38,{2,3,4},0),IFERROR(VLOOKUP(C24,MO!$A$6:$D$26,{2,3,4},0),IFERROR(VLOOKUP(C24,MQ!$A$6:$D$26,{2,3,4},0),IFERROR(VLOOKUP(C24,BA!$A$6:$H$190,{2,5,8},0),{"No encontrado","X","X"}))))</f>
        <v>GRAVA DE 3/4</v>
      </c>
      <c r="E24" s="11" t="str">
        <v>m3</v>
      </c>
      <c r="F24" s="4">
        <v>600</v>
      </c>
      <c r="G24" s="1">
        <v>0.64</v>
      </c>
      <c r="H24" s="4">
        <f t="shared" si="1"/>
        <v>384</v>
      </c>
    </row>
    <row r="25" spans="1:8">
      <c r="C25" s="1" t="s">
        <v>55</v>
      </c>
      <c r="D25" s="4" t="str" cm="1">
        <f t="array" ref="D25:F25">IFERROR(VLOOKUP(C25,MA!$A$6:$D$38,{2,3,4},0),IFERROR(VLOOKUP(C25,MO!$A$6:$D$26,{2,3,4},0),IFERROR(VLOOKUP(C25,MQ!$A$6:$D$26,{2,3,4},0),IFERROR(VLOOKUP(C25,BA!$A$6:$H$190,{2,5,8},0),{"No encontrado","X","X"}))))</f>
        <v>AGUA EN PIPA</v>
      </c>
      <c r="E25" s="11" t="str">
        <v>m3</v>
      </c>
      <c r="F25" s="4">
        <v>20</v>
      </c>
      <c r="G25" s="1">
        <v>0.5</v>
      </c>
      <c r="H25" s="4">
        <f t="shared" si="1"/>
        <v>10</v>
      </c>
    </row>
    <row r="26" spans="1:8">
      <c r="D26" s="4"/>
      <c r="E26" s="11"/>
      <c r="F26" s="4"/>
      <c r="H26" s="4"/>
    </row>
    <row r="27" spans="1:8">
      <c r="C27" s="1" t="s">
        <v>94</v>
      </c>
      <c r="D27" s="4" t="str" cm="1">
        <f t="array" ref="D27:F27">IFERROR(VLOOKUP(C27,MA!$A$6:$D$38,{2,3,4},0),IFERROR(VLOOKUP(C27,MO!$A$6:$D$26,{2,3,4},0),IFERROR(VLOOKUP(C27,MQ!$A$6:$D$26,{2,3,4},0),IFERROR(VLOOKUP(C27,BA!$A$6:$H$190,{2,5,8},0),{"No encontrado","X","X"}))))</f>
        <v>PEON</v>
      </c>
      <c r="E27" s="11" t="str">
        <v>JOR</v>
      </c>
      <c r="F27" s="4">
        <v>638.26</v>
      </c>
      <c r="G27" s="1">
        <v>1</v>
      </c>
      <c r="H27" s="4">
        <f t="shared" ref="H27" si="2">G27*F27</f>
        <v>638.26</v>
      </c>
    </row>
    <row r="28" spans="1:8">
      <c r="D28" s="4"/>
      <c r="E28" s="11"/>
      <c r="F28" s="4"/>
      <c r="H28" s="4"/>
    </row>
    <row r="29" spans="1:8">
      <c r="C29" s="14" t="str">
        <f>k!$A$10</f>
        <v>HE001</v>
      </c>
      <c r="D29" s="15" t="str">
        <f>k!$B$10</f>
        <v>HERRAMIENTA MENOR</v>
      </c>
      <c r="E29" s="16" t="s">
        <v>31</v>
      </c>
      <c r="F29" s="17">
        <f>SUM(H26:H27)</f>
        <v>638.26</v>
      </c>
      <c r="G29" s="15">
        <f>k!$D$10</f>
        <v>0.03</v>
      </c>
      <c r="H29" s="15">
        <f>G29*F29</f>
        <v>19.149999999999999</v>
      </c>
    </row>
    <row r="30" spans="1:8">
      <c r="C30" s="14" t="str">
        <f>k!$A$11</f>
        <v>HE002</v>
      </c>
      <c r="D30" s="15" t="str">
        <f>k!$B$11</f>
        <v>MANDO INTERMEDIO</v>
      </c>
      <c r="E30" s="16" t="s">
        <v>31</v>
      </c>
      <c r="F30" s="15">
        <f>F29</f>
        <v>638.26</v>
      </c>
      <c r="G30" s="15">
        <f>k!$D$11</f>
        <v>0.1</v>
      </c>
      <c r="H30" s="15">
        <f>G30*F30</f>
        <v>63.83</v>
      </c>
    </row>
    <row r="31" spans="1:8">
      <c r="C31" s="14" t="str">
        <f>k!$A$12</f>
        <v>HE003</v>
      </c>
      <c r="D31" s="15" t="str">
        <f>k!$B$12</f>
        <v>EQUIPO DE SEGURIDAD</v>
      </c>
      <c r="E31" s="16" t="s">
        <v>31</v>
      </c>
      <c r="F31" s="15">
        <f t="shared" ref="F31" si="3">F30</f>
        <v>638.26</v>
      </c>
      <c r="G31" s="15">
        <f>k!$D$12</f>
        <v>0.01</v>
      </c>
      <c r="H31" s="15">
        <f>G31*F31</f>
        <v>6.38</v>
      </c>
    </row>
    <row r="32" spans="1:8">
      <c r="D32" s="4"/>
      <c r="E32" s="11"/>
      <c r="F32" s="4"/>
      <c r="H32" s="4"/>
    </row>
    <row r="33" spans="1:8">
      <c r="C33" s="1" t="s">
        <v>56</v>
      </c>
      <c r="D33" s="4" t="str" cm="1">
        <f t="array" ref="D33:F33">IFERROR(VLOOKUP(C33,MA!$A$6:$D$38,{2,3,4},0),IFERROR(VLOOKUP(C33,MO!$A$6:$D$26,{2,3,4},0),IFERROR(VLOOKUP(C33,MQ!$A$6:$D$26,{2,3,4},0),IFERROR(VLOOKUP(C33,BA!$A$6:$H$190,{2,5,8},0),{"No encontrado","X","X"}))))</f>
        <v>REVOLVEDORA 1 SACO</v>
      </c>
      <c r="E33" s="11" t="str">
        <v>Hr</v>
      </c>
      <c r="F33" s="4">
        <v>250</v>
      </c>
      <c r="G33" s="1">
        <v>1</v>
      </c>
      <c r="H33" s="4">
        <f t="shared" ref="H33" si="4">G33*F33</f>
        <v>250</v>
      </c>
    </row>
    <row r="38" spans="1:8" s="9" customFormat="1" ht="47.45" customHeight="1">
      <c r="A38" s="9" t="s">
        <v>65</v>
      </c>
      <c r="B38" s="9" t="s">
        <v>112</v>
      </c>
      <c r="E38" s="12" t="s">
        <v>48</v>
      </c>
      <c r="H38" s="13">
        <f>SUM(H39:H50)</f>
        <v>2472.62</v>
      </c>
    </row>
    <row r="39" spans="1:8">
      <c r="C39" s="1" t="s">
        <v>105</v>
      </c>
      <c r="D39" s="4" t="str" cm="1">
        <f t="array" ref="D39:F39">IFERROR(VLOOKUP(C39,MA!$A$6:$D$38,{2,3,4},0),IFERROR(VLOOKUP(C39,MO!$A$6:$D$26,{2,3,4},0),IFERROR(VLOOKUP(C39,MQ!$A$6:$D$26,{2,3,4},0),IFERROR(VLOOKUP(C39,BA!$A$6:$H$190,{2,5,8},0),{"No encontrado","X","X"}))))</f>
        <v>CEMENTO GRIS EN SACO</v>
      </c>
      <c r="E39" s="11" t="str">
        <v>Ton</v>
      </c>
      <c r="F39" s="4">
        <v>2500</v>
      </c>
      <c r="G39" s="1">
        <v>0.33</v>
      </c>
      <c r="H39" s="4">
        <f t="shared" ref="H39:H50" si="5">G39*F39</f>
        <v>825</v>
      </c>
    </row>
    <row r="40" spans="1:8">
      <c r="C40" s="1" t="s">
        <v>106</v>
      </c>
      <c r="D40" s="4" t="str" cm="1">
        <f t="array" ref="D40:F40">IFERROR(VLOOKUP(C40,MA!$A$6:$D$38,{2,3,4},0),IFERROR(VLOOKUP(C40,MO!$A$6:$D$26,{2,3,4},0),IFERROR(VLOOKUP(C40,MQ!$A$6:$D$26,{2,3,4},0),IFERROR(VLOOKUP(C40,BA!$A$6:$H$190,{2,5,8},0),{"No encontrado","X","X"}))))</f>
        <v>ARENA DE RIO L.A.B. EN OBRA</v>
      </c>
      <c r="E40" s="11" t="str">
        <v>m3</v>
      </c>
      <c r="F40" s="4">
        <v>500</v>
      </c>
      <c r="G40" s="1">
        <v>0.54</v>
      </c>
      <c r="H40" s="4">
        <f t="shared" si="5"/>
        <v>270</v>
      </c>
    </row>
    <row r="41" spans="1:8">
      <c r="C41" s="1" t="s">
        <v>108</v>
      </c>
      <c r="D41" s="4" t="str" cm="1">
        <f t="array" ref="D41:F41">IFERROR(VLOOKUP(C41,MA!$A$6:$D$38,{2,3,4},0),IFERROR(VLOOKUP(C41,MO!$A$6:$D$26,{2,3,4},0),IFERROR(VLOOKUP(C41,MQ!$A$6:$D$26,{2,3,4},0),IFERROR(VLOOKUP(C41,BA!$A$6:$H$190,{2,5,8},0),{"No encontrado","X","X"}))))</f>
        <v>GRAVA DE 3/4</v>
      </c>
      <c r="E41" s="11" t="str">
        <v>m3</v>
      </c>
      <c r="F41" s="4">
        <v>600</v>
      </c>
      <c r="G41" s="1">
        <v>0.65</v>
      </c>
      <c r="H41" s="4">
        <f t="shared" si="5"/>
        <v>390</v>
      </c>
    </row>
    <row r="42" spans="1:8">
      <c r="C42" s="1" t="s">
        <v>55</v>
      </c>
      <c r="D42" s="4" t="str" cm="1">
        <f t="array" ref="D42:F42">IFERROR(VLOOKUP(C42,MA!$A$6:$D$38,{2,3,4},0),IFERROR(VLOOKUP(C42,MO!$A$6:$D$26,{2,3,4},0),IFERROR(VLOOKUP(C42,MQ!$A$6:$D$26,{2,3,4},0),IFERROR(VLOOKUP(C42,BA!$A$6:$H$190,{2,5,8},0),{"No encontrado","X","X"}))))</f>
        <v>AGUA EN PIPA</v>
      </c>
      <c r="E42" s="11" t="str">
        <v>m3</v>
      </c>
      <c r="F42" s="4">
        <v>20</v>
      </c>
      <c r="G42" s="1">
        <v>0.5</v>
      </c>
      <c r="H42" s="4">
        <f t="shared" si="5"/>
        <v>10</v>
      </c>
    </row>
    <row r="43" spans="1:8">
      <c r="D43" s="4"/>
      <c r="E43" s="11"/>
      <c r="F43" s="4"/>
      <c r="H43" s="4"/>
    </row>
    <row r="44" spans="1:8">
      <c r="C44" s="1" t="s">
        <v>94</v>
      </c>
      <c r="D44" s="4" t="str" cm="1">
        <f t="array" ref="D44:F44">IFERROR(VLOOKUP(C44,MA!$A$6:$D$38,{2,3,4},0),IFERROR(VLOOKUP(C44,MO!$A$6:$D$26,{2,3,4},0),IFERROR(VLOOKUP(C44,MQ!$A$6:$D$26,{2,3,4},0),IFERROR(VLOOKUP(C44,BA!$A$6:$H$190,{2,5,8},0),{"No encontrado","X","X"}))))</f>
        <v>PEON</v>
      </c>
      <c r="E44" s="11" t="str">
        <v>JOR</v>
      </c>
      <c r="F44" s="4">
        <v>638.26</v>
      </c>
      <c r="G44" s="1">
        <v>1</v>
      </c>
      <c r="H44" s="4">
        <f t="shared" si="5"/>
        <v>638.26</v>
      </c>
    </row>
    <row r="45" spans="1:8">
      <c r="D45" s="4"/>
      <c r="E45" s="11"/>
      <c r="F45" s="4"/>
      <c r="H45" s="4"/>
    </row>
    <row r="46" spans="1:8">
      <c r="C46" s="14" t="str">
        <f>k!$A$10</f>
        <v>HE001</v>
      </c>
      <c r="D46" s="15" t="str">
        <f>k!$B$10</f>
        <v>HERRAMIENTA MENOR</v>
      </c>
      <c r="E46" s="16" t="s">
        <v>31</v>
      </c>
      <c r="F46" s="17">
        <f>SUM(H43:H44)</f>
        <v>638.26</v>
      </c>
      <c r="G46" s="15">
        <f>k!$D$10</f>
        <v>0.03</v>
      </c>
      <c r="H46" s="15">
        <f>G46*F46</f>
        <v>19.149999999999999</v>
      </c>
    </row>
    <row r="47" spans="1:8">
      <c r="C47" s="14" t="str">
        <f>k!$A$11</f>
        <v>HE002</v>
      </c>
      <c r="D47" s="15" t="str">
        <f>k!$B$11</f>
        <v>MANDO INTERMEDIO</v>
      </c>
      <c r="E47" s="16" t="s">
        <v>31</v>
      </c>
      <c r="F47" s="15">
        <f>F46</f>
        <v>638.26</v>
      </c>
      <c r="G47" s="15">
        <f>k!$D$11</f>
        <v>0.1</v>
      </c>
      <c r="H47" s="15">
        <f>G47*F47</f>
        <v>63.83</v>
      </c>
    </row>
    <row r="48" spans="1:8">
      <c r="C48" s="14" t="str">
        <f>k!$A$12</f>
        <v>HE003</v>
      </c>
      <c r="D48" s="15" t="str">
        <f>k!$B$12</f>
        <v>EQUIPO DE SEGURIDAD</v>
      </c>
      <c r="E48" s="16" t="s">
        <v>31</v>
      </c>
      <c r="F48" s="15">
        <f t="shared" ref="F48" si="6">F47</f>
        <v>638.26</v>
      </c>
      <c r="G48" s="15">
        <f>k!$D$12</f>
        <v>0.01</v>
      </c>
      <c r="H48" s="15">
        <f>G48*F48</f>
        <v>6.38</v>
      </c>
    </row>
    <row r="49" spans="1:8">
      <c r="D49" s="4"/>
      <c r="E49" s="11"/>
      <c r="F49" s="4"/>
      <c r="H49" s="4"/>
    </row>
    <row r="50" spans="1:8">
      <c r="C50" s="1" t="s">
        <v>56</v>
      </c>
      <c r="D50" s="4" t="str" cm="1">
        <f t="array" ref="D50:F50">IFERROR(VLOOKUP(C50,MA!$A$6:$D$38,{2,3,4},0),IFERROR(VLOOKUP(C50,MO!$A$6:$D$26,{2,3,4},0),IFERROR(VLOOKUP(C50,MQ!$A$6:$D$26,{2,3,4},0),IFERROR(VLOOKUP(C50,BA!$A$6:$H$190,{2,5,8},0),{"No encontrado","X","X"}))))</f>
        <v>REVOLVEDORA 1 SACO</v>
      </c>
      <c r="E50" s="11" t="str">
        <v>Hr</v>
      </c>
      <c r="F50" s="4">
        <v>250</v>
      </c>
      <c r="G50" s="1">
        <v>1</v>
      </c>
      <c r="H50" s="4">
        <f t="shared" si="5"/>
        <v>250</v>
      </c>
    </row>
    <row r="53" spans="1:8" s="9" customFormat="1" ht="47.45" customHeight="1">
      <c r="A53" s="9" t="s">
        <v>115</v>
      </c>
      <c r="B53" s="9" t="s">
        <v>66</v>
      </c>
      <c r="E53" s="12" t="s">
        <v>47</v>
      </c>
      <c r="H53" s="13">
        <f>SUM(H54:H65)</f>
        <v>430.45</v>
      </c>
    </row>
    <row r="54" spans="1:8">
      <c r="C54" s="1" t="s">
        <v>103</v>
      </c>
      <c r="D54" s="4" t="str" cm="1">
        <f t="array" ref="D54:F54">IFERROR(VLOOKUP(C54,MA!$A$6:$D$38,{2,3,4},0),IFERROR(VLOOKUP(C54,MO!$A$6:$D$26,{2,3,4},0),IFERROR(VLOOKUP(C54,MQ!$A$6:$D$26,{2,3,4},0),IFERROR(VLOOKUP(C54,BA!$A$6:$H$190,{2,5,8},0),{"No encontrado","X","X"}))))</f>
        <v>MADERA DE PINO DE TERCERA</v>
      </c>
      <c r="E54" s="11" t="str">
        <v>Pt</v>
      </c>
      <c r="F54" s="4">
        <v>10</v>
      </c>
      <c r="G54" s="1">
        <f>(11/5)*1.25</f>
        <v>2.75</v>
      </c>
      <c r="H54" s="4">
        <f t="shared" ref="H54:H61" si="7">G54*F54</f>
        <v>27.5</v>
      </c>
    </row>
    <row r="55" spans="1:8">
      <c r="C55" s="1" t="s">
        <v>32</v>
      </c>
      <c r="D55" s="4" t="str" cm="1">
        <f t="array" ref="D55:F55">IFERROR(VLOOKUP(C55,MA!$A$6:$D$38,{2,3,4},0),IFERROR(VLOOKUP(C55,MO!$A$6:$D$26,{2,3,4},0),IFERROR(VLOOKUP(C55,MQ!$A$6:$D$26,{2,3,4},0),IFERROR(VLOOKUP(C55,BA!$A$6:$H$190,{2,5,8},0),{"No encontrado","X","X"}))))</f>
        <v>CLAVO</v>
      </c>
      <c r="E55" s="11" t="str">
        <v>Kg</v>
      </c>
      <c r="F55" s="4">
        <v>36</v>
      </c>
      <c r="G55" s="1">
        <v>0.1</v>
      </c>
      <c r="H55" s="4">
        <f t="shared" si="7"/>
        <v>3.6</v>
      </c>
    </row>
    <row r="56" spans="1:8">
      <c r="C56" s="1" t="s">
        <v>110</v>
      </c>
      <c r="D56" s="4" t="str" cm="1">
        <f t="array" ref="D56:F56">IFERROR(VLOOKUP(C56,MA!$A$6:$D$38,{2,3,4},0),IFERROR(VLOOKUP(C56,MO!$A$6:$D$26,{2,3,4},0),IFERROR(VLOOKUP(C56,MQ!$A$6:$D$26,{2,3,4},0),IFERROR(VLOOKUP(C56,BA!$A$6:$H$190,{2,5,8},0),{"No encontrado","X","X"}))))</f>
        <v>ALAMBRE RECOCIDO</v>
      </c>
      <c r="E56" s="11" t="str">
        <v>Kg</v>
      </c>
      <c r="F56" s="4">
        <v>22</v>
      </c>
      <c r="G56" s="1">
        <v>0.5</v>
      </c>
      <c r="H56" s="4">
        <f t="shared" ref="H56" si="8">G56*F56</f>
        <v>11</v>
      </c>
    </row>
    <row r="57" spans="1:8">
      <c r="C57" s="1" t="s">
        <v>113</v>
      </c>
      <c r="D57" s="4" t="str" cm="1">
        <f t="array" ref="D57:F57">IFERROR(VLOOKUP(C57,MA!$A$6:$D$38,{2,3,4},0),IFERROR(VLOOKUP(C57,MO!$A$6:$D$26,{2,3,4},0),IFERROR(VLOOKUP(C57,MQ!$A$6:$D$26,{2,3,4},0),IFERROR(VLOOKUP(C57,BA!$A$6:$H$190,{2,5,8},0),{"No encontrado","X","X"}))))</f>
        <v>DESMOLDANTE</v>
      </c>
      <c r="E57" s="11" t="str">
        <v>Lt</v>
      </c>
      <c r="F57" s="4">
        <v>97.73</v>
      </c>
      <c r="G57" s="1">
        <v>0.2</v>
      </c>
      <c r="H57" s="4">
        <f t="shared" ref="H57" si="9">G57*F57</f>
        <v>19.55</v>
      </c>
    </row>
    <row r="58" spans="1:8">
      <c r="D58" s="4"/>
      <c r="E58" s="11"/>
      <c r="F58" s="4"/>
      <c r="H58" s="4"/>
    </row>
    <row r="59" spans="1:8">
      <c r="D59" s="4"/>
      <c r="E59" s="11"/>
      <c r="F59" s="4"/>
      <c r="H59" s="4"/>
    </row>
    <row r="60" spans="1:8">
      <c r="C60" s="1" t="s">
        <v>12</v>
      </c>
      <c r="D60" s="4" t="str" cm="1">
        <f t="array" ref="D60:F60">IFERROR(VLOOKUP(C60,MA!$A$6:$D$38,{2,3,4},0),IFERROR(VLOOKUP(C60,MO!$A$6:$D$26,{2,3,4},0),IFERROR(VLOOKUP(C60,MQ!$A$6:$D$26,{2,3,4},0),IFERROR(VLOOKUP(C60,BA!$A$6:$H$190,{2,5,8},0),{"No encontrado","X","X"}))))</f>
        <v>CARPINTERO DE OBRA NEGRA, OFICIAL</v>
      </c>
      <c r="E60" s="11" t="str">
        <v>JOR</v>
      </c>
      <c r="F60" s="4">
        <v>949.25</v>
      </c>
      <c r="G60" s="1">
        <f>1/5</f>
        <v>0.2</v>
      </c>
      <c r="H60" s="4">
        <f t="shared" ref="H60" si="10">G60*F60</f>
        <v>189.85</v>
      </c>
    </row>
    <row r="61" spans="1:8">
      <c r="C61" s="1" t="s">
        <v>10</v>
      </c>
      <c r="D61" s="4" t="str" cm="1">
        <f t="array" ref="D61:F61">IFERROR(VLOOKUP(C61,MA!$A$6:$D$38,{2,3,4},0),IFERROR(VLOOKUP(C61,MO!$A$6:$D$26,{2,3,4},0),IFERROR(VLOOKUP(C61,MQ!$A$6:$D$26,{2,3,4},0),IFERROR(VLOOKUP(C61,BA!$A$6:$H$190,{2,5,8},0),{"No encontrado","X","X"}))))</f>
        <v xml:space="preserve">AYUDANTE GENERAL </v>
      </c>
      <c r="E61" s="11" t="str">
        <v>JOR</v>
      </c>
      <c r="F61" s="4">
        <v>668.25</v>
      </c>
      <c r="G61" s="1">
        <f>1/5</f>
        <v>0.2</v>
      </c>
      <c r="H61" s="4">
        <f t="shared" si="7"/>
        <v>133.65</v>
      </c>
    </row>
    <row r="62" spans="1:8">
      <c r="D62" s="4"/>
      <c r="E62" s="11"/>
    </row>
    <row r="63" spans="1:8">
      <c r="C63" s="14" t="str">
        <f>k!$A$10</f>
        <v>HE001</v>
      </c>
      <c r="D63" s="15" t="str">
        <f>k!$B$10</f>
        <v>HERRAMIENTA MENOR</v>
      </c>
      <c r="E63" s="16" t="s">
        <v>31</v>
      </c>
      <c r="F63" s="17">
        <f>SUM(H60:H61)</f>
        <v>323.5</v>
      </c>
      <c r="G63" s="15">
        <f>k!$D$10</f>
        <v>0.03</v>
      </c>
      <c r="H63" s="15">
        <f>G63*F63</f>
        <v>9.7100000000000009</v>
      </c>
    </row>
    <row r="64" spans="1:8">
      <c r="C64" s="14" t="str">
        <f>k!$A$11</f>
        <v>HE002</v>
      </c>
      <c r="D64" s="15" t="str">
        <f>k!$B$11</f>
        <v>MANDO INTERMEDIO</v>
      </c>
      <c r="E64" s="16" t="s">
        <v>31</v>
      </c>
      <c r="F64" s="15">
        <f>F63</f>
        <v>323.5</v>
      </c>
      <c r="G64" s="15">
        <f>k!$D$11</f>
        <v>0.1</v>
      </c>
      <c r="H64" s="15">
        <f>G64*F64</f>
        <v>32.35</v>
      </c>
    </row>
    <row r="65" spans="1:8">
      <c r="C65" s="14" t="str">
        <f>k!$A$12</f>
        <v>HE003</v>
      </c>
      <c r="D65" s="15" t="str">
        <f>k!$B$12</f>
        <v>EQUIPO DE SEGURIDAD</v>
      </c>
      <c r="E65" s="16" t="s">
        <v>31</v>
      </c>
      <c r="F65" s="15">
        <f t="shared" ref="F65" si="11">F64</f>
        <v>323.5</v>
      </c>
      <c r="G65" s="15">
        <f>k!$D$12</f>
        <v>0.01</v>
      </c>
      <c r="H65" s="15">
        <f>G65*F65</f>
        <v>3.24</v>
      </c>
    </row>
    <row r="68" spans="1:8">
      <c r="A68" s="9" t="s">
        <v>153</v>
      </c>
      <c r="B68" s="9" t="s">
        <v>157</v>
      </c>
      <c r="C68" s="9"/>
      <c r="D68" s="9"/>
      <c r="E68" s="12" t="s">
        <v>127</v>
      </c>
      <c r="F68" s="9"/>
      <c r="G68" s="9"/>
      <c r="H68" s="13">
        <f>SUM(H69:H83)</f>
        <v>1612.59</v>
      </c>
    </row>
    <row r="69" spans="1:8">
      <c r="C69" s="1" t="s">
        <v>139</v>
      </c>
      <c r="D69" s="4" t="str" cm="1">
        <f t="array" ref="D69:F69">IFERROR(VLOOKUP(C69,MA!$A$6:$D$38,{2,3,4},0),IFERROR(VLOOKUP(C69,MO!$A$6:$D$26,{2,3,4},0),IFERROR(VLOOKUP(C69,MQ!$A$6:$D$26,{2,3,4},0),IFERROR(VLOOKUP(C69,BA!$A$6:$H$190,{2,5,8},0),{"No encontrado","X","X"}))))</f>
        <v>TUBO PARA PVC 4" P/CEM</v>
      </c>
      <c r="E69" s="11" t="str">
        <v>m</v>
      </c>
      <c r="F69" s="4">
        <v>138.57</v>
      </c>
      <c r="G69" s="1">
        <v>4.5</v>
      </c>
      <c r="H69" s="4">
        <f t="shared" ref="H69" si="12">G69*F69</f>
        <v>623.57000000000005</v>
      </c>
    </row>
    <row r="70" spans="1:8">
      <c r="C70" s="1" t="s">
        <v>140</v>
      </c>
      <c r="D70" s="4" t="str" cm="1">
        <f t="array" ref="D70:F70">IFERROR(VLOOKUP(C70,MA!$A$6:$D$38,{2,3,4},0),IFERROR(VLOOKUP(C70,MO!$A$6:$D$26,{2,3,4},0),IFERROR(VLOOKUP(C70,MQ!$A$6:$D$26,{2,3,4},0),IFERROR(VLOOKUP(C70,BA!$A$6:$H$190,{2,5,8},0),{"No encontrado","X","X"}))))</f>
        <v>CODO PARA PVC 4" P/CEM</v>
      </c>
      <c r="E70" s="11" t="str">
        <v>pza</v>
      </c>
      <c r="F70" s="4">
        <v>196.68</v>
      </c>
      <c r="G70" s="1">
        <v>1</v>
      </c>
      <c r="H70" s="4">
        <f t="shared" ref="H70:H74" si="13">G70*F70</f>
        <v>196.68</v>
      </c>
    </row>
    <row r="71" spans="1:8">
      <c r="C71" s="1" t="s">
        <v>144</v>
      </c>
      <c r="D71" s="4" t="str" cm="1">
        <f t="array" ref="D71:F71">IFERROR(VLOOKUP(C71,MA!$A$6:$D$38,{2,3,4},0),IFERROR(VLOOKUP(C71,MO!$A$6:$D$26,{2,3,4},0),IFERROR(VLOOKUP(C71,MQ!$A$6:$D$26,{2,3,4},0),IFERROR(VLOOKUP(C71,BA!$A$6:$H$190,{2,5,8},0),{"No encontrado","X","X"}))))</f>
        <v>COPLE PARA PVC 4" P/CEM</v>
      </c>
      <c r="E71" s="11" t="str">
        <v>pza</v>
      </c>
      <c r="F71" s="4">
        <v>90.31</v>
      </c>
      <c r="G71" s="1">
        <v>1</v>
      </c>
      <c r="H71" s="4">
        <f t="shared" si="13"/>
        <v>90.31</v>
      </c>
    </row>
    <row r="72" spans="1:8">
      <c r="C72" s="1" t="s">
        <v>143</v>
      </c>
      <c r="D72" s="4" t="str" cm="1">
        <f t="array" ref="D72:F72">IFERROR(VLOOKUP(C72,MA!$A$6:$D$38,{2,3,4},0),IFERROR(VLOOKUP(C72,MO!$A$6:$D$26,{2,3,4},0),IFERROR(VLOOKUP(C72,MQ!$A$6:$D$26,{2,3,4},0),IFERROR(VLOOKUP(C72,BA!$A$6:$H$190,{2,5,8},0),{"No encontrado","X","X"}))))</f>
        <v>TEE PARA PVC 4" P/CEM</v>
      </c>
      <c r="E72" s="11" t="str">
        <v>pza</v>
      </c>
      <c r="F72" s="4">
        <v>293.05</v>
      </c>
      <c r="G72" s="1">
        <v>1</v>
      </c>
      <c r="H72" s="4">
        <f t="shared" si="13"/>
        <v>293.05</v>
      </c>
    </row>
    <row r="73" spans="1:8">
      <c r="C73" s="1" t="s">
        <v>149</v>
      </c>
      <c r="D73" s="4" t="str" cm="1">
        <f t="array" ref="D73:F73">IFERROR(VLOOKUP(C73,MA!$A$6:$D$38,{2,3,4},0),IFERROR(VLOOKUP(C73,MO!$A$6:$D$26,{2,3,4},0),IFERROR(VLOOKUP(C73,MQ!$A$6:$D$26,{2,3,4},0),IFERROR(VLOOKUP(C73,BA!$A$6:$H$190,{2,5,8},0),{"No encontrado","X","X"}))))</f>
        <v>TAPON PARA PVC 4" P/CEM</v>
      </c>
      <c r="E73" s="11" t="str">
        <v>pza</v>
      </c>
      <c r="F73" s="4">
        <v>94.87</v>
      </c>
      <c r="G73" s="1">
        <v>2</v>
      </c>
      <c r="H73" s="4">
        <f t="shared" si="13"/>
        <v>189.74</v>
      </c>
    </row>
    <row r="74" spans="1:8">
      <c r="C74" s="1" t="s">
        <v>151</v>
      </c>
      <c r="D74" s="4" t="str" cm="1">
        <f t="array" ref="D74:F74">IFERROR(VLOOKUP(C74,MA!$A$6:$D$38,{2,3,4},0),IFERROR(VLOOKUP(C74,MO!$A$6:$D$26,{2,3,4},0),IFERROR(VLOOKUP(C74,MQ!$A$6:$D$26,{2,3,4},0),IFERROR(VLOOKUP(C74,BA!$A$6:$H$190,{2,5,8},0),{"No encontrado","X","X"}))))</f>
        <v>LLAVE DE PASO 1/2"</v>
      </c>
      <c r="E74" s="11" t="str">
        <v>pza</v>
      </c>
      <c r="F74" s="4">
        <v>50</v>
      </c>
      <c r="G74" s="1">
        <v>2</v>
      </c>
      <c r="H74" s="4">
        <f t="shared" si="13"/>
        <v>100</v>
      </c>
    </row>
    <row r="75" spans="1:8">
      <c r="C75" s="1" t="s">
        <v>150</v>
      </c>
      <c r="D75" s="4" t="str" cm="1">
        <f t="array" ref="D75:F75">IFERROR(VLOOKUP(C75,MA!$A$6:$D$38,{2,3,4},0),IFERROR(VLOOKUP(C75,MO!$A$6:$D$26,{2,3,4},0),IFERROR(VLOOKUP(C75,MQ!$A$6:$D$26,{2,3,4},0),IFERROR(VLOOKUP(C75,BA!$A$6:$H$190,{2,5,8},0),{"No encontrado","X","X"}))))</f>
        <v>PEGAMENTO PVC</v>
      </c>
      <c r="E75" s="11" t="str">
        <v>Lt</v>
      </c>
      <c r="F75" s="4">
        <v>91.31</v>
      </c>
      <c r="G75" s="1">
        <v>0.12</v>
      </c>
      <c r="H75" s="4">
        <f t="shared" ref="H75" si="14">G75*F75</f>
        <v>10.96</v>
      </c>
    </row>
    <row r="76" spans="1:8">
      <c r="D76" s="4"/>
      <c r="E76" s="11"/>
      <c r="F76" s="4"/>
      <c r="H76" s="4"/>
    </row>
    <row r="77" spans="1:8">
      <c r="D77" s="4"/>
      <c r="E77" s="11"/>
      <c r="F77" s="4"/>
      <c r="H77" s="4"/>
    </row>
    <row r="78" spans="1:8">
      <c r="C78" s="1" t="s">
        <v>96</v>
      </c>
      <c r="D78" s="4" t="str" cm="1">
        <f t="array" ref="D78:F78">IFERROR(VLOOKUP(C78,MA!$A$6:$D$38,{2,3,4},0),IFERROR(VLOOKUP(C78,MO!$A$6:$D$26,{2,3,4},0),IFERROR(VLOOKUP(C78,MQ!$A$6:$D$26,{2,3,4},0),IFERROR(VLOOKUP(C78,BA!$A$6:$H$190,{2,5,8},0),{"No encontrado","X","X"}))))</f>
        <v>PLOMERO, OFICIAL</v>
      </c>
      <c r="E78" s="11" t="str">
        <v>JOR</v>
      </c>
      <c r="F78" s="4">
        <v>914.67</v>
      </c>
      <c r="G78" s="1">
        <f>1/16</f>
        <v>0.06</v>
      </c>
      <c r="H78" s="4">
        <f t="shared" ref="H78:H79" si="15">G78*F78</f>
        <v>54.88</v>
      </c>
    </row>
    <row r="79" spans="1:8">
      <c r="C79" s="1" t="s">
        <v>10</v>
      </c>
      <c r="D79" s="4" t="str" cm="1">
        <f t="array" ref="D79:F79">IFERROR(VLOOKUP(C79,MA!$A$6:$D$38,{2,3,4},0),IFERROR(VLOOKUP(C79,MO!$A$6:$D$26,{2,3,4},0),IFERROR(VLOOKUP(C79,MQ!$A$6:$D$26,{2,3,4},0),IFERROR(VLOOKUP(C79,BA!$A$6:$H$190,{2,5,8},0),{"No encontrado","X","X"}))))</f>
        <v xml:space="preserve">AYUDANTE GENERAL </v>
      </c>
      <c r="E79" s="11" t="str">
        <v>JOR</v>
      </c>
      <c r="F79" s="4">
        <v>668.25</v>
      </c>
      <c r="G79" s="1">
        <f>1/16</f>
        <v>0.06</v>
      </c>
      <c r="H79" s="4">
        <f t="shared" si="15"/>
        <v>40.1</v>
      </c>
    </row>
    <row r="80" spans="1:8">
      <c r="D80" s="4"/>
      <c r="E80" s="11"/>
    </row>
    <row r="81" spans="3:8">
      <c r="C81" s="14" t="str">
        <f>k!$A$10</f>
        <v>HE001</v>
      </c>
      <c r="D81" s="15" t="str">
        <f>k!$B$10</f>
        <v>HERRAMIENTA MENOR</v>
      </c>
      <c r="E81" s="16" t="s">
        <v>31</v>
      </c>
      <c r="F81" s="17">
        <f>SUM(H78:H79)</f>
        <v>94.98</v>
      </c>
      <c r="G81" s="15">
        <f>k!$D$10</f>
        <v>0.03</v>
      </c>
      <c r="H81" s="15">
        <f>G81*F81</f>
        <v>2.85</v>
      </c>
    </row>
    <row r="82" spans="3:8">
      <c r="C82" s="14" t="str">
        <f>k!$A$11</f>
        <v>HE002</v>
      </c>
      <c r="D82" s="15" t="str">
        <f>k!$B$11</f>
        <v>MANDO INTERMEDIO</v>
      </c>
      <c r="E82" s="16" t="s">
        <v>31</v>
      </c>
      <c r="F82" s="15">
        <f>F81</f>
        <v>94.98</v>
      </c>
      <c r="G82" s="15">
        <f>k!$D$11</f>
        <v>0.1</v>
      </c>
      <c r="H82" s="15">
        <f>G82*F82</f>
        <v>9.5</v>
      </c>
    </row>
    <row r="83" spans="3:8">
      <c r="C83" s="14" t="str">
        <f>k!$A$12</f>
        <v>HE003</v>
      </c>
      <c r="D83" s="15" t="str">
        <f>k!$B$12</f>
        <v>EQUIPO DE SEGURIDAD</v>
      </c>
      <c r="E83" s="16" t="s">
        <v>31</v>
      </c>
      <c r="F83" s="15">
        <f t="shared" ref="F83" si="16">F82</f>
        <v>94.98</v>
      </c>
      <c r="G83" s="15">
        <f>k!$D$12</f>
        <v>0.01</v>
      </c>
      <c r="H83" s="15">
        <f>G83*F83</f>
        <v>0.95</v>
      </c>
    </row>
    <row r="190" spans="1:5">
      <c r="A190" s="3" t="s">
        <v>18</v>
      </c>
      <c r="B190" s="3"/>
      <c r="C190" s="3"/>
      <c r="D190" s="3"/>
      <c r="E190" s="1"/>
    </row>
  </sheetData>
  <pageMargins left="0.70866141732283472" right="0.70866141732283472" top="0.74803149606299213" bottom="0.74803149606299213" header="0.31496062992125984" footer="0.31496062992125984"/>
  <pageSetup scale="71" fitToHeight="0" orientation="portrait" r:id="rId1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4"/>
  <sheetViews>
    <sheetView workbookViewId="0">
      <selection activeCell="D6" sqref="D6"/>
    </sheetView>
  </sheetViews>
  <sheetFormatPr baseColWidth="10" defaultRowHeight="14.25"/>
  <sheetData>
    <row r="1" spans="1:14">
      <c r="A1" t="s">
        <v>38</v>
      </c>
    </row>
    <row r="2" spans="1:14">
      <c r="A2" s="26" t="s">
        <v>33</v>
      </c>
      <c r="B2" s="26" t="s">
        <v>34</v>
      </c>
      <c r="C2" s="26"/>
      <c r="D2" s="26"/>
      <c r="G2" s="32"/>
      <c r="H2" s="33">
        <f>1/3</f>
        <v>0.33</v>
      </c>
      <c r="I2" s="32"/>
      <c r="J2" s="32"/>
      <c r="K2" s="32"/>
      <c r="L2" s="32"/>
      <c r="M2" s="32"/>
      <c r="N2" s="32"/>
    </row>
    <row r="3" spans="1:14">
      <c r="A3" s="26" t="s">
        <v>35</v>
      </c>
      <c r="B3" s="26" t="s">
        <v>37</v>
      </c>
      <c r="C3" s="26"/>
      <c r="D3" s="27">
        <v>0.15</v>
      </c>
      <c r="G3" s="32"/>
      <c r="H3" s="33">
        <f t="shared" ref="H3:H4" si="0">1/3</f>
        <v>0.33</v>
      </c>
      <c r="I3" s="32"/>
      <c r="J3" s="32"/>
      <c r="K3" s="32"/>
      <c r="L3" s="32"/>
      <c r="M3" s="32"/>
      <c r="N3" s="32"/>
    </row>
    <row r="4" spans="1:14">
      <c r="A4" s="26" t="s">
        <v>36</v>
      </c>
      <c r="B4" s="26" t="s">
        <v>39</v>
      </c>
      <c r="C4" s="26"/>
      <c r="D4" s="27">
        <v>0.2</v>
      </c>
      <c r="G4" s="32"/>
      <c r="H4" s="34">
        <f t="shared" si="0"/>
        <v>0.33</v>
      </c>
      <c r="I4" s="32"/>
      <c r="J4" s="32"/>
      <c r="K4" s="32"/>
      <c r="L4" s="32"/>
      <c r="M4" s="32"/>
      <c r="N4" s="32"/>
    </row>
    <row r="5" spans="1:14">
      <c r="A5" s="26" t="s">
        <v>40</v>
      </c>
      <c r="B5" s="26" t="s">
        <v>41</v>
      </c>
      <c r="C5" s="26"/>
      <c r="D5" s="27">
        <v>5.5999999999999999E-3</v>
      </c>
      <c r="G5" s="32"/>
      <c r="H5" s="32">
        <f>SUM(H2:H4)</f>
        <v>0.99</v>
      </c>
      <c r="I5" s="32" t="s">
        <v>72</v>
      </c>
      <c r="J5" s="32"/>
      <c r="K5" s="32"/>
      <c r="L5" s="32"/>
      <c r="M5" s="32"/>
      <c r="N5" s="32"/>
    </row>
    <row r="6" spans="1:14">
      <c r="A6" s="26" t="s">
        <v>42</v>
      </c>
      <c r="B6" s="26" t="s">
        <v>43</v>
      </c>
      <c r="C6" s="26"/>
      <c r="D6" s="27">
        <v>0.1</v>
      </c>
      <c r="G6" s="32"/>
      <c r="H6" s="32"/>
      <c r="I6" s="32" t="s">
        <v>73</v>
      </c>
      <c r="J6" s="32"/>
      <c r="K6" s="32"/>
      <c r="L6" s="32"/>
      <c r="M6" s="32"/>
      <c r="N6" s="32"/>
    </row>
    <row r="7" spans="1:14">
      <c r="A7" s="26" t="s">
        <v>44</v>
      </c>
      <c r="B7" s="26" t="s">
        <v>45</v>
      </c>
      <c r="C7" s="26"/>
      <c r="D7" s="27">
        <v>0</v>
      </c>
    </row>
    <row r="8" spans="1:14">
      <c r="A8" s="26" t="s">
        <v>15</v>
      </c>
      <c r="B8" s="26" t="s">
        <v>46</v>
      </c>
      <c r="C8" s="26"/>
      <c r="D8" s="27"/>
    </row>
    <row r="10" spans="1:14">
      <c r="A10" s="28" t="s">
        <v>21</v>
      </c>
      <c r="B10" s="28" t="s">
        <v>22</v>
      </c>
      <c r="C10" s="28"/>
      <c r="D10" s="29">
        <v>0.03</v>
      </c>
    </row>
    <row r="11" spans="1:14">
      <c r="A11" s="28" t="s">
        <v>23</v>
      </c>
      <c r="B11" s="28" t="s">
        <v>26</v>
      </c>
      <c r="C11" s="28"/>
      <c r="D11" s="29">
        <v>0.1</v>
      </c>
    </row>
    <row r="12" spans="1:14">
      <c r="A12" s="28" t="s">
        <v>24</v>
      </c>
      <c r="B12" s="28" t="s">
        <v>27</v>
      </c>
      <c r="C12" s="28"/>
      <c r="D12" s="29">
        <v>0.01</v>
      </c>
    </row>
    <row r="13" spans="1:14">
      <c r="A13" s="28" t="s">
        <v>25</v>
      </c>
      <c r="B13" s="28" t="s">
        <v>28</v>
      </c>
      <c r="C13" s="28"/>
      <c r="D13" s="29">
        <v>0</v>
      </c>
    </row>
    <row r="14" spans="1:14">
      <c r="A14" s="28" t="s">
        <v>29</v>
      </c>
      <c r="B14" s="28" t="s">
        <v>30</v>
      </c>
      <c r="C14" s="28"/>
      <c r="D14" s="29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PU</vt:lpstr>
      <vt:lpstr>MA</vt:lpstr>
      <vt:lpstr>MO</vt:lpstr>
      <vt:lpstr>MQ</vt:lpstr>
      <vt:lpstr>BA</vt:lpstr>
      <vt:lpstr>k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Raul Fernandez</dc:creator>
  <cp:lastModifiedBy>Usuario de Windows</cp:lastModifiedBy>
  <cp:lastPrinted>2024-08-13T20:07:58Z</cp:lastPrinted>
  <dcterms:created xsi:type="dcterms:W3CDTF">2024-08-08T20:21:30Z</dcterms:created>
  <dcterms:modified xsi:type="dcterms:W3CDTF">2024-10-12T00:44:22Z</dcterms:modified>
</cp:coreProperties>
</file>