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rqdi\OneDrive\Documentos\MAESTRIA VALUACION\INGENERIA DE COSTOS\"/>
    </mc:Choice>
  </mc:AlternateContent>
  <xr:revisionPtr revIDLastSave="0" documentId="13_ncr:1_{AD3E7D97-5F75-48B9-BD47-67F38EF79703}" xr6:coauthVersionLast="47" xr6:coauthVersionMax="47" xr10:uidLastSave="{00000000-0000-0000-0000-000000000000}"/>
  <bookViews>
    <workbookView xWindow="-108" yWindow="-108" windowWidth="23256" windowHeight="12456" xr2:uid="{26563543-B7F8-4461-BD29-D070AE2F8C00}"/>
  </bookViews>
  <sheets>
    <sheet name="PU" sheetId="1" r:id="rId1"/>
    <sheet name="MA" sheetId="2" r:id="rId2"/>
    <sheet name="MQ" sheetId="8" r:id="rId3"/>
    <sheet name="BA" sheetId="7" r:id="rId4"/>
    <sheet name="k" sheetId="4" r:id="rId5"/>
    <sheet name="MO" sheetId="3" r:id="rId6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1" l="1" a="1"/>
  <c r="D11" i="1" s="1"/>
  <c r="G15" i="1"/>
  <c r="G14" i="1"/>
  <c r="G10" i="1"/>
  <c r="D23" i="2"/>
  <c r="D10" i="1" a="1"/>
  <c r="D10" i="1" s="1"/>
  <c r="D22" i="2"/>
  <c r="D15" i="1" a="1"/>
  <c r="H15" i="1" s="1"/>
  <c r="D20" i="2"/>
  <c r="D29" i="1"/>
  <c r="C29" i="1"/>
  <c r="G28" i="1"/>
  <c r="D28" i="1"/>
  <c r="C28" i="1"/>
  <c r="G27" i="1"/>
  <c r="D27" i="1"/>
  <c r="C27" i="1"/>
  <c r="D26" i="1"/>
  <c r="C26" i="1"/>
  <c r="G25" i="1"/>
  <c r="D25" i="1"/>
  <c r="C25" i="1"/>
  <c r="G24" i="1"/>
  <c r="D24" i="1"/>
  <c r="C24" i="1"/>
  <c r="D23" i="1"/>
  <c r="C23" i="1"/>
  <c r="G21" i="1"/>
  <c r="D21" i="1"/>
  <c r="C21" i="1"/>
  <c r="G20" i="1"/>
  <c r="D20" i="1"/>
  <c r="C20" i="1"/>
  <c r="G19" i="1"/>
  <c r="D19" i="1"/>
  <c r="C19" i="1"/>
  <c r="G18" i="1"/>
  <c r="D18" i="1"/>
  <c r="C18" i="1"/>
  <c r="G17" i="1"/>
  <c r="D17" i="1"/>
  <c r="C17" i="1"/>
  <c r="D14" i="1" a="1"/>
  <c r="D14" i="1" s="1"/>
  <c r="D8" i="1" a="1"/>
  <c r="D8" i="1" s="1"/>
  <c r="G63" i="7"/>
  <c r="G62" i="7"/>
  <c r="D63" i="7" a="1"/>
  <c r="H63" i="7" s="1"/>
  <c r="D62" i="7" a="1"/>
  <c r="H62" i="7" s="1"/>
  <c r="G60" i="7"/>
  <c r="G57" i="7"/>
  <c r="D17" i="2"/>
  <c r="D59" i="7" a="1"/>
  <c r="H59" i="7" s="1"/>
  <c r="D53" i="7" a="1"/>
  <c r="H53" i="7" s="1"/>
  <c r="G49" i="7"/>
  <c r="D49" i="7"/>
  <c r="C49" i="7"/>
  <c r="G48" i="7"/>
  <c r="D48" i="7"/>
  <c r="C48" i="7"/>
  <c r="G47" i="7"/>
  <c r="D47" i="7"/>
  <c r="C47" i="7"/>
  <c r="D45" i="7" a="1"/>
  <c r="H45" i="7" s="1"/>
  <c r="F47" i="7" s="1"/>
  <c r="D43" i="7" a="1"/>
  <c r="D43" i="7" s="1"/>
  <c r="D42" i="7" a="1"/>
  <c r="H42" i="7" s="1"/>
  <c r="D41" i="7" a="1"/>
  <c r="D41" i="7" s="1"/>
  <c r="D40" i="7" a="1"/>
  <c r="H40" i="7" s="1"/>
  <c r="G19" i="7"/>
  <c r="C13" i="7"/>
  <c r="D7" i="7" a="1"/>
  <c r="D7" i="7" s="1"/>
  <c r="H4" i="4"/>
  <c r="H3" i="4"/>
  <c r="H2" i="4"/>
  <c r="D67" i="7"/>
  <c r="C67" i="7"/>
  <c r="D66" i="7"/>
  <c r="C66" i="7"/>
  <c r="D65" i="7"/>
  <c r="C65" i="7"/>
  <c r="D33" i="7"/>
  <c r="C33" i="7"/>
  <c r="D32" i="7"/>
  <c r="C32" i="7"/>
  <c r="D31" i="7"/>
  <c r="C31" i="7"/>
  <c r="D15" i="7"/>
  <c r="D14" i="7"/>
  <c r="D13" i="7"/>
  <c r="C15" i="7"/>
  <c r="C14" i="7"/>
  <c r="G67" i="7"/>
  <c r="G66" i="7"/>
  <c r="G65" i="7"/>
  <c r="G33" i="7"/>
  <c r="G32" i="7"/>
  <c r="G31" i="7"/>
  <c r="G15" i="7"/>
  <c r="G14" i="7"/>
  <c r="G13" i="7"/>
  <c r="D37" i="7" a="1"/>
  <c r="D37" i="7" s="1"/>
  <c r="D29" i="7" a="1"/>
  <c r="D29" i="7" s="1"/>
  <c r="D27" i="7" a="1"/>
  <c r="D27" i="7" s="1"/>
  <c r="D26" i="7" a="1"/>
  <c r="D26" i="7" s="1"/>
  <c r="D25" i="7" a="1"/>
  <c r="D25" i="7" s="1"/>
  <c r="D24" i="7" a="1"/>
  <c r="D24" i="7" s="1"/>
  <c r="D19" i="7" a="1"/>
  <c r="D19" i="7" s="1"/>
  <c r="D9" i="7" a="1"/>
  <c r="D9" i="7" s="1"/>
  <c r="D8" i="7" a="1"/>
  <c r="D8" i="7" s="1"/>
  <c r="D11" i="7" a="1"/>
  <c r="D11" i="7" s="1"/>
  <c r="D60" i="7" a="1"/>
  <c r="D60" i="7" s="1"/>
  <c r="D58" i="7" a="1"/>
  <c r="D58" i="7" s="1"/>
  <c r="D57" i="7" a="1"/>
  <c r="D57" i="7" s="1"/>
  <c r="H11" i="1" l="1"/>
  <c r="H10" i="1"/>
  <c r="D15" i="1"/>
  <c r="H8" i="1"/>
  <c r="H14" i="1"/>
  <c r="F17" i="1" s="1"/>
  <c r="F65" i="7"/>
  <c r="D63" i="7"/>
  <c r="D62" i="7"/>
  <c r="D59" i="7"/>
  <c r="D40" i="7"/>
  <c r="H43" i="7"/>
  <c r="F48" i="7"/>
  <c r="H47" i="7"/>
  <c r="H41" i="7"/>
  <c r="D45" i="7"/>
  <c r="D42" i="7"/>
  <c r="D53" i="7"/>
  <c r="H5" i="4"/>
  <c r="H9" i="7"/>
  <c r="H37" i="7"/>
  <c r="H24" i="7"/>
  <c r="H26" i="7"/>
  <c r="H27" i="7"/>
  <c r="H7" i="7"/>
  <c r="H8" i="7"/>
  <c r="H57" i="7"/>
  <c r="H58" i="7"/>
  <c r="H60" i="7"/>
  <c r="H25" i="7"/>
  <c r="H29" i="7"/>
  <c r="F31" i="7" s="1"/>
  <c r="H19" i="7"/>
  <c r="H11" i="7"/>
  <c r="F13" i="7" s="1"/>
  <c r="H17" i="1" l="1"/>
  <c r="H48" i="7"/>
  <c r="F49" i="7"/>
  <c r="H49" i="7" s="1"/>
  <c r="F32" i="7"/>
  <c r="H31" i="7"/>
  <c r="F14" i="7"/>
  <c r="H13" i="7"/>
  <c r="F18" i="1" l="1"/>
  <c r="F19" i="1" s="1"/>
  <c r="F20" i="1" s="1"/>
  <c r="H39" i="7"/>
  <c r="H32" i="7"/>
  <c r="F33" i="7"/>
  <c r="F15" i="7"/>
  <c r="H14" i="7"/>
  <c r="H18" i="1" l="1"/>
  <c r="H19" i="1"/>
  <c r="H20" i="1"/>
  <c r="F21" i="1"/>
  <c r="H21" i="1" s="1"/>
  <c r="H33" i="7"/>
  <c r="H15" i="7"/>
  <c r="H6" i="7" l="1"/>
  <c r="D9" i="1" s="1" a="1"/>
  <c r="H23" i="7"/>
  <c r="D9" i="1" l="1"/>
  <c r="H9" i="1"/>
  <c r="F24" i="1" s="1"/>
  <c r="F25" i="1" l="1"/>
  <c r="H24" i="1"/>
  <c r="H25" i="1" l="1"/>
  <c r="F26" i="1" s="1"/>
  <c r="H26" i="1" s="1"/>
  <c r="F27" i="1" s="1"/>
  <c r="H27" i="1" s="1"/>
  <c r="F28" i="1" s="1"/>
  <c r="H28" i="1" s="1"/>
  <c r="H29" i="1" s="1"/>
  <c r="H6" i="1" s="1"/>
  <c r="H65" i="7" l="1"/>
  <c r="F66" i="7"/>
  <c r="H66" i="7" s="1"/>
  <c r="F67" i="7" l="1"/>
  <c r="H67" i="7" l="1"/>
  <c r="H56" i="7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<sst xmlns="http://schemas.openxmlformats.org/spreadsheetml/2006/main" count="233" uniqueCount="136">
  <si>
    <t>CONCEPTO</t>
  </si>
  <si>
    <t>CLAVE PU</t>
  </si>
  <si>
    <t>CLAVE INSUMO</t>
  </si>
  <si>
    <t>DESCRIPCION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</si>
  <si>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</si>
  <si>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</si>
  <si>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</si>
  <si>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</si>
  <si>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</si>
  <si>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</si>
  <si>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</si>
  <si>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</si>
  <si>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</si>
  <si>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</si>
  <si>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</si>
  <si>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</si>
  <si>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</si>
  <si>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</si>
  <si>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</si>
  <si>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</si>
  <si>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</si>
  <si>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</si>
  <si>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</si>
  <si>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</si>
  <si>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</si>
  <si>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</si>
  <si>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</si>
  <si>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</si>
  <si>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</si>
  <si>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</si>
  <si>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</si>
  <si>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</si>
  <si>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</si>
  <si>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</si>
  <si>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</si>
  <si>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</si>
  <si>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</si>
  <si>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</si>
  <si>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</si>
  <si>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</si>
  <si>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</si>
  <si>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</si>
  <si>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</si>
  <si>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</si>
  <si>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</si>
  <si>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</si>
  <si>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</si>
  <si>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</si>
  <si>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m3</t>
  </si>
  <si>
    <t>PIEDRA BRAZA L.A.B. EN OBRA</t>
  </si>
  <si>
    <t>BA001</t>
  </si>
  <si>
    <t>MORTERO CEMENTO-ARENA 1:5</t>
  </si>
  <si>
    <t>CEMENTO GRIS EN SACO</t>
  </si>
  <si>
    <t>Ton</t>
  </si>
  <si>
    <t>ARENA DE RIO L.A.B. EN OBRA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</si>
  <si>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</si>
  <si>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</si>
  <si>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</si>
  <si>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</si>
  <si>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</si>
  <si>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</si>
  <si>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</si>
  <si>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BA002</t>
  </si>
  <si>
    <t>CONCRETO F'c= 250 Kg/cm2 TMA 3/4" HECHO EN OBRA</t>
  </si>
  <si>
    <t>GRAVA DE 3/4</t>
  </si>
  <si>
    <t>BA003</t>
  </si>
  <si>
    <t>CIMBRA COMUN</t>
  </si>
  <si>
    <t>VARILLA CORRUGADA</t>
  </si>
  <si>
    <t>ALAMBRE RECOCIDO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</si>
  <si>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</si>
  <si>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</si>
  <si>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</si>
  <si>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</si>
  <si>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</si>
  <si>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</si>
  <si>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</si>
  <si>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</si>
  <si>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</si>
  <si>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</si>
  <si>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</si>
  <si>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</si>
  <si>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</si>
  <si>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</si>
  <si>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</si>
  <si>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</si>
  <si>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</si>
  <si>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</si>
  <si>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</si>
  <si>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</si>
  <si>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</si>
  <si>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</si>
  <si>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</si>
  <si>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</si>
  <si>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</si>
  <si>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</si>
  <si>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</si>
  <si>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</si>
  <si>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</si>
  <si>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</si>
  <si>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</si>
  <si>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</si>
  <si>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</si>
  <si>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</si>
  <si>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</si>
  <si>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</si>
  <si>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</si>
  <si>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</si>
  <si>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</si>
  <si>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</si>
  <si>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</si>
  <si>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</si>
  <si>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</si>
  <si>
    <t xml:space="preserve">SUPUESTO 8 PEONES PARA 8M3 POR DIA </t>
  </si>
  <si>
    <t>CONCRETO F'c= 150 Kg/cm2 TMA 3/4" HECHO EN OBRA</t>
  </si>
  <si>
    <t xml:space="preserve">ACTUALIZAR CON LA TABLA DE SALARIOS REALES </t>
  </si>
  <si>
    <t>BA004</t>
  </si>
  <si>
    <t>DESM</t>
  </si>
  <si>
    <t>DESMOLDANTE</t>
  </si>
  <si>
    <t>ALAMBRON</t>
  </si>
  <si>
    <t>ALAMBRON1/4</t>
  </si>
  <si>
    <t>kg</t>
  </si>
  <si>
    <t>EMULSION</t>
  </si>
  <si>
    <t>lt</t>
  </si>
  <si>
    <t>VAPOTTIE</t>
  </si>
  <si>
    <t>TABIQUE RR 7-14-28</t>
  </si>
  <si>
    <t>millar</t>
  </si>
  <si>
    <t>TABIQUE</t>
  </si>
  <si>
    <t>PIEDRA</t>
  </si>
  <si>
    <t>PIEDRA DORADA LAJA IRREGULAR  2-4 CM ESPESOR</t>
  </si>
  <si>
    <t>PEGA PIEDRA</t>
  </si>
  <si>
    <t>PEGA PIEDRA PERDURA</t>
  </si>
  <si>
    <t>JUNTEADOR</t>
  </si>
  <si>
    <t xml:space="preserve">BOQUILLA CON ARENA </t>
  </si>
  <si>
    <t>PU001</t>
  </si>
  <si>
    <t>COLOCACION  FACHALETA DE PIEDRA NATURAL DORADA FORMATO LAJA IRREGULAR ESPESOR DE 2 A 4 CMS COLOCADO SOBRE MURO DE BLOCK EXISTENTE, PEGADO CON PEGA PIEDRA PERDURA  Y RELLENO DE JUNTA  CON BOQUILLA CON ARENA COLOR SIMILAR  A LA PIEDRA.</t>
  </si>
  <si>
    <t>saco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</si>
</sst>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"/>
    <numFmt numFmtId="165" formatCode="#,##0.000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sz val="11"/>
      <color rgb="FFC00000"/>
      <name val="Aptos Narrow"/>
      <family val="2"/>
      <scheme val="minor"/>
    </font>
    <font>
      <u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8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164" fontId="0" fillId="0" borderId="0" xfId="0" applyNumberFormat="1"/>
    <xf numFmtId="165" fontId="0" fillId="0" borderId="0" xfId="0" applyNumberFormat="1"/>
    <xf numFmtId="4" fontId="0" fillId="0" borderId="0" xfId="0" applyNumberFormat="1" applyAlignment="1">
      <alignment horizontal="left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  <xdr:twoCellAnchor editAs="oneCell">
    <xdr:from>
      <xdr:col>8</xdr:col>
      <xdr:colOff>678365</xdr:colOff>
      <xdr:row>5</xdr:row>
      <xdr:rowOff>315951</xdr:rowOff>
    </xdr:from>
    <xdr:to>
      <xdr:col>16</xdr:col>
      <xdr:colOff>294244</xdr:colOff>
      <xdr:row>27</xdr:row>
      <xdr:rowOff>72643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7B6932D-8F72-9D35-7C94-D70ECF097B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57731" y="1421780"/>
          <a:ext cx="5934903" cy="4477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639F6-9B02-461D-B097-E88E9148A28C}">
  <sheetPr>
    <pageSetUpPr fitToPage="1"/>
  </sheetPr>
  <dimension ref="A2:H29"/>
  <sheetViews>
    <sheetView tabSelected="1" zoomScale="82" workbookViewId="0">
      <pane xSplit="8" ySplit="5" topLeftCell="I6" activePane="bottomRight" state="frozen"/>
      <selection activeCell="B13" sqref="B13"/>
      <selection pane="topRight" activeCell="B13" sqref="B13"/>
      <selection pane="bottomLeft" activeCell="B13" sqref="B13"/>
      <selection pane="bottomRight" activeCell="I14" sqref="I14"/>
    </sheetView>
  </sheetViews>
  <sheetFormatPr baseColWidth="10" defaultColWidth="11.5546875" defaultRowHeight="14.4" x14ac:dyDescent="0.3"/>
  <cols>
    <col min="1" max="2" width="11.5546875" style="1"/>
    <col min="3" max="3" width="13.44140625" style="1" bestFit="1" customWidth="1"/>
    <col min="4" max="4" width="44" style="1" customWidth="1"/>
    <col min="5" max="5" width="11.5546875" style="8"/>
    <col min="6" max="16384" width="11.5546875" style="1"/>
  </cols>
  <sheetData>
    <row r="2" spans="1:8" x14ac:dyDescent="0.3">
      <c r="E2" s="8" t="s">
        <v>71</v>
      </c>
    </row>
    <row r="5" spans="1:8" s="7" customFormat="1" ht="28.2" customHeight="1" thickBot="1" x14ac:dyDescent="0.35">
      <c r="A5" s="6" t="s">
        <v>1</v>
      </c>
      <c r="B5" s="6" t="s">
        <v>0</v>
      </c>
      <c r="C5" s="6" t="s">
        <v>2</v>
      </c>
      <c r="D5" s="6" t="s">
        <v>3</v>
      </c>
      <c r="E5" s="10" t="s">
        <v>4</v>
      </c>
      <c r="F5" s="6" t="s">
        <v>5</v>
      </c>
      <c r="G5" s="6" t="s">
        <v>16</v>
      </c>
      <c r="H5" s="6" t="s">
        <v>17</v>
      </c>
    </row>
    <row r="6" spans="1:8" ht="64.2" customHeight="1" x14ac:dyDescent="0.3">
      <c r="A6" s="9" t="s">
        <v>133</v>
      </c>
      <c r="B6" s="37" t="s">
        <v>134</v>
      </c>
      <c r="C6" s="37"/>
      <c r="D6" s="37"/>
      <c r="E6" s="12" t="s">
        <v>47</v>
      </c>
      <c r="F6" s="9"/>
      <c r="G6" s="9"/>
      <c r="H6" s="9">
        <f>H29</f>
        <v>1702.77</v>
      </c>
    </row>
    <row r="8" spans="1:8" x14ac:dyDescent="0.3">
      <c r="C8" s="1" t="s">
        <v>127</v>
      </c>
      <c r="D8" s="4" t="str" cm="1">
        <f t="array" ref="D8:F8">IFERROR(VLOOKUP(C8,MA!$A$6:$D$26,{2,3,4},0),IFERROR(VLOOKUP(C8,MO!$A$6:$D$26,{2,3,4},0),IFERROR(VLOOKUP(C8,MQ!$A$6:$D$26,{2,3,4},0),IFERROR(VLOOKUP(C8,BA!$A$6:$H$191,{2,5,8},0),{"No encontrado","X","X"}))))</f>
        <v>PIEDRA DORADA LAJA IRREGULAR  2-4 CM ESPESOR</v>
      </c>
      <c r="E8" s="11" t="str">
        <v>m2</v>
      </c>
      <c r="F8" s="4">
        <v>725</v>
      </c>
      <c r="G8" s="35">
        <v>1.1499999999999999</v>
      </c>
      <c r="H8" s="4">
        <f t="shared" ref="H8:H9" si="0">G8*F8</f>
        <v>833.75</v>
      </c>
    </row>
    <row r="9" spans="1:8" x14ac:dyDescent="0.3">
      <c r="C9" s="1" t="s">
        <v>129</v>
      </c>
      <c r="D9" s="4" t="str" cm="1">
        <f t="array" ref="D9:F9">IFERROR(VLOOKUP(C9,MA!$A$6:$D$26,{2,3,4},0),IFERROR(VLOOKUP(C9,MO!$A$6:$D$26,{2,3,4},0),IFERROR(VLOOKUP(C9,MQ!$A$6:$D$26,{2,3,4},0),IFERROR(VLOOKUP(C9,BA!$A$6:$H$191,{2,5,8},0),{"No encontrado","X","X"}))))</f>
        <v>PEGA PIEDRA PERDURA</v>
      </c>
      <c r="E9" s="11" t="str">
        <v>saco</v>
      </c>
      <c r="F9" s="4">
        <v>177.59</v>
      </c>
      <c r="G9" s="35">
        <v>1</v>
      </c>
      <c r="H9" s="4">
        <f t="shared" si="0"/>
        <v>177.59</v>
      </c>
    </row>
    <row r="10" spans="1:8" x14ac:dyDescent="0.3">
      <c r="C10" s="1" t="s">
        <v>131</v>
      </c>
      <c r="D10" s="4" t="str" cm="1">
        <f t="array" ref="D10:F10">IFERROR(VLOOKUP(C10,MA!$A$6:$D$26,{2,3,4},0),IFERROR(VLOOKUP(C10,MO!$A$6:$D$26,{2,3,4},0),IFERROR(VLOOKUP(C10,MQ!$A$6:$D$26,{2,3,4},0),IFERROR(VLOOKUP(C10,BA!$A$6:$H$191,{2,5,8},0),{"No encontrado","X","X"}))))</f>
        <v xml:space="preserve">BOQUILLA CON ARENA </v>
      </c>
      <c r="E10" s="11" t="str">
        <v>saco</v>
      </c>
      <c r="F10" s="4">
        <v>163.79</v>
      </c>
      <c r="G10" s="35">
        <f>1/5</f>
        <v>0.2</v>
      </c>
      <c r="H10" s="4">
        <f t="shared" ref="H10" si="1">G10*F10</f>
        <v>32.76</v>
      </c>
    </row>
    <row r="11" spans="1:8" x14ac:dyDescent="0.3">
      <c r="C11" s="1" t="s">
        <v>55</v>
      </c>
      <c r="D11" s="4" t="str" cm="1">
        <f t="array" ref="D11:F11">IFERROR(VLOOKUP(C11,MA!$A$6:$D$26,{2,3,4},0),IFERROR(VLOOKUP(C11,MO!$A$6:$D$26,{2,3,4},0),IFERROR(VLOOKUP(C11,MQ!$A$6:$D$26,{2,3,4},0),IFERROR(VLOOKUP(C11,BA!$A$6:$H$191,{2,5,8},0),{"No encontrado","X","X"}))))</f>
        <v>AGUA EN PIPA</v>
      </c>
      <c r="E11" s="11" t="str">
        <v>m3</v>
      </c>
      <c r="F11" s="4">
        <v>20</v>
      </c>
      <c r="G11" s="35">
        <v>0.25</v>
      </c>
      <c r="H11" s="4">
        <f t="shared" ref="H11" si="2">G11*F11</f>
        <v>5</v>
      </c>
    </row>
    <row r="12" spans="1:8" x14ac:dyDescent="0.3">
      <c r="D12" s="4"/>
    </row>
    <row r="13" spans="1:8" x14ac:dyDescent="0.3">
      <c r="D13" s="4"/>
      <c r="E13" s="11"/>
      <c r="F13" s="4"/>
      <c r="H13" s="4"/>
    </row>
    <row r="14" spans="1:8" x14ac:dyDescent="0.3">
      <c r="C14" s="1" t="s">
        <v>11</v>
      </c>
      <c r="D14" s="4" t="str" cm="1">
        <f t="array" ref="D14:F14">IFERROR(VLOOKUP(C14,MA!$A$6:$D$26,{2,3,4},0),IFERROR(VLOOKUP(C14,MO!$A$6:$D$26,{2,3,4},0),IFERROR(VLOOKUP(C14,MQ!$A$6:$D$26,{2,3,4},0),IFERROR(VLOOKUP(C14,BA!$A$6:$H$191,{2,5,8},0),{"No encontrado","X","X"}))))</f>
        <v>AZULEJERO, OFICIAL</v>
      </c>
      <c r="E14" s="11" t="str">
        <v>JOR</v>
      </c>
      <c r="F14" s="4">
        <v>930.82</v>
      </c>
      <c r="G14" s="1">
        <f>1/20</f>
        <v>0.05</v>
      </c>
      <c r="H14" s="4">
        <f t="shared" ref="H14" si="3">G14*F14</f>
        <v>46.54</v>
      </c>
    </row>
    <row r="15" spans="1:8" x14ac:dyDescent="0.3">
      <c r="C15" s="1" t="s">
        <v>10</v>
      </c>
      <c r="D15" s="4" t="str" cm="1">
        <f t="array" ref="D15:F15">IFERROR(VLOOKUP(C15,MA!$A$6:$D$26,{2,3,4},0),IFERROR(VLOOKUP(C15,MO!$A$6:$D$26,{2,3,4},0),IFERROR(VLOOKUP(C15,MQ!$A$6:$D$26,{2,3,4},0),IFERROR(VLOOKUP(C15,BA!$A$6:$H$191,{2,5,8},0),{"No encontrado","X","X"}))))</f>
        <v xml:space="preserve">AYUDANTE GENERAL </v>
      </c>
      <c r="E15" s="11" t="str">
        <v>JOR</v>
      </c>
      <c r="F15" s="4">
        <v>668.33</v>
      </c>
      <c r="G15" s="1">
        <f>1/20</f>
        <v>0.05</v>
      </c>
      <c r="H15" s="4">
        <f t="shared" ref="H15" si="4">G15*F15</f>
        <v>33.42</v>
      </c>
    </row>
    <row r="17" spans="1:8" x14ac:dyDescent="0.3">
      <c r="C17" s="14" t="str">
        <f>k!$A$10</f>
        <v>HE001</v>
      </c>
      <c r="D17" s="15" t="str">
        <f>k!$B$10</f>
        <v>HERRAMIENTA MENOR</v>
      </c>
      <c r="E17" s="16" t="s">
        <v>31</v>
      </c>
      <c r="F17" s="17">
        <f>SUM(H14:H15)</f>
        <v>79.959999999999994</v>
      </c>
      <c r="G17" s="15">
        <f>k!$D$10</f>
        <v>0.03</v>
      </c>
      <c r="H17" s="15">
        <f>G17*F17</f>
        <v>2.4</v>
      </c>
    </row>
    <row r="18" spans="1:8" x14ac:dyDescent="0.3">
      <c r="C18" s="14" t="str">
        <f>k!$A$11</f>
        <v>HE002</v>
      </c>
      <c r="D18" s="15" t="str">
        <f>k!$B$11</f>
        <v>MANDO INTERMEDIO</v>
      </c>
      <c r="E18" s="16" t="s">
        <v>31</v>
      </c>
      <c r="F18" s="15">
        <f>F17</f>
        <v>79.959999999999994</v>
      </c>
      <c r="G18" s="15">
        <f>k!$D$11</f>
        <v>0.1</v>
      </c>
      <c r="H18" s="15">
        <f>G18*F18</f>
        <v>8</v>
      </c>
    </row>
    <row r="19" spans="1:8" x14ac:dyDescent="0.3">
      <c r="C19" s="14" t="str">
        <f>k!$A$12</f>
        <v>HE003</v>
      </c>
      <c r="D19" s="15" t="str">
        <f>k!$B$12</f>
        <v>EQUIPO DE SEGURIDAD</v>
      </c>
      <c r="E19" s="16" t="s">
        <v>31</v>
      </c>
      <c r="F19" s="15">
        <f t="shared" ref="F19:F21" si="5">F18</f>
        <v>79.959999999999994</v>
      </c>
      <c r="G19" s="15">
        <f>k!$D$12</f>
        <v>0.01</v>
      </c>
      <c r="H19" s="15">
        <f>G19*F19</f>
        <v>0.8</v>
      </c>
    </row>
    <row r="20" spans="1:8" x14ac:dyDescent="0.3">
      <c r="C20" s="14" t="str">
        <f>k!$A$13</f>
        <v>HE004</v>
      </c>
      <c r="D20" s="15" t="str">
        <f>k!$B$13</f>
        <v>PRESTACIONES S.S.</v>
      </c>
      <c r="E20" s="16" t="s">
        <v>31</v>
      </c>
      <c r="F20" s="15">
        <f t="shared" si="5"/>
        <v>79.959999999999994</v>
      </c>
      <c r="G20" s="15">
        <f>k!$D$13</f>
        <v>0</v>
      </c>
      <c r="H20" s="15">
        <f>G20*F20</f>
        <v>0</v>
      </c>
    </row>
    <row r="21" spans="1:8" x14ac:dyDescent="0.3">
      <c r="C21" s="14" t="str">
        <f>k!$A$14</f>
        <v>HE005</v>
      </c>
      <c r="D21" s="15" t="str">
        <f>k!$B$14</f>
        <v>IMPUESTO SOBRE NOMINA</v>
      </c>
      <c r="E21" s="16" t="s">
        <v>31</v>
      </c>
      <c r="F21" s="15">
        <f t="shared" si="5"/>
        <v>79.959999999999994</v>
      </c>
      <c r="G21" s="15">
        <f>k!$D$14</f>
        <v>0</v>
      </c>
      <c r="H21" s="15">
        <f>G21*F21</f>
        <v>0</v>
      </c>
    </row>
    <row r="23" spans="1:8" x14ac:dyDescent="0.3">
      <c r="C23" s="18" t="str">
        <f>k!$A$2</f>
        <v>CD</v>
      </c>
      <c r="D23" s="18" t="str">
        <f>k!$B$2</f>
        <v>COSTO DIRECTO</v>
      </c>
      <c r="E23" s="19"/>
      <c r="F23" s="20"/>
      <c r="G23" s="20"/>
      <c r="H23" s="20"/>
    </row>
    <row r="24" spans="1:8" x14ac:dyDescent="0.3">
      <c r="C24" s="18" t="str">
        <f>k!$A$3</f>
        <v>IO</v>
      </c>
      <c r="D24" s="18" t="str">
        <f>k!$B$3</f>
        <v>INDIRECTOS OFICINA</v>
      </c>
      <c r="E24" s="19"/>
      <c r="F24" s="21">
        <f>SUM(H8:H21)</f>
        <v>1140.26</v>
      </c>
      <c r="G24" s="22">
        <f>k!$D$3</f>
        <v>0.15</v>
      </c>
      <c r="H24" s="18">
        <f>G24*F24</f>
        <v>171.04</v>
      </c>
    </row>
    <row r="25" spans="1:8" x14ac:dyDescent="0.3">
      <c r="C25" s="18" t="str">
        <f>k!$A$4</f>
        <v>IC</v>
      </c>
      <c r="D25" s="18" t="str">
        <f>k!$B$4</f>
        <v>INDIRECTOS DE CAMPO</v>
      </c>
      <c r="E25" s="19"/>
      <c r="F25" s="18">
        <f>F24</f>
        <v>1140.26</v>
      </c>
      <c r="G25" s="22">
        <f>k!$D$4</f>
        <v>0.2</v>
      </c>
      <c r="H25" s="18">
        <f>G25*F25</f>
        <v>228.05</v>
      </c>
    </row>
    <row r="26" spans="1:8" x14ac:dyDescent="0.3">
      <c r="C26" s="18" t="str">
        <f>k!$A$5</f>
        <v>FI</v>
      </c>
      <c r="D26" s="18" t="str">
        <f>k!$B$5</f>
        <v>FINANCIAMIENTO</v>
      </c>
      <c r="E26" s="19"/>
      <c r="F26" s="18">
        <f>F25+H24+H25</f>
        <v>1539.35</v>
      </c>
      <c r="G26" s="22">
        <v>5.5999999999999999E-3</v>
      </c>
      <c r="H26" s="18">
        <f>G26*F26</f>
        <v>8.6199999999999992</v>
      </c>
    </row>
    <row r="27" spans="1:8" x14ac:dyDescent="0.3">
      <c r="C27" s="18" t="str">
        <f>k!$A$6</f>
        <v>UT</v>
      </c>
      <c r="D27" s="18" t="str">
        <f>k!$B$6</f>
        <v>UTILIDAD</v>
      </c>
      <c r="E27" s="19"/>
      <c r="F27" s="18">
        <f>F26+H26</f>
        <v>1547.97</v>
      </c>
      <c r="G27" s="22">
        <f>k!$D$6</f>
        <v>0.1</v>
      </c>
      <c r="H27" s="18">
        <f>G27*F27</f>
        <v>154.80000000000001</v>
      </c>
    </row>
    <row r="28" spans="1:8" x14ac:dyDescent="0.3">
      <c r="C28" s="18" t="str">
        <f>k!$A$7</f>
        <v>CA</v>
      </c>
      <c r="D28" s="18" t="str">
        <f>k!$B$7</f>
        <v>CARGOS ADICIONALES</v>
      </c>
      <c r="E28" s="19"/>
      <c r="F28" s="18">
        <f>(F27+H27)/(1-G28)</f>
        <v>1702.77</v>
      </c>
      <c r="G28" s="22">
        <f>k!$D$7</f>
        <v>0</v>
      </c>
      <c r="H28" s="18">
        <f>G28*F28</f>
        <v>0</v>
      </c>
    </row>
    <row r="29" spans="1:8" x14ac:dyDescent="0.3">
      <c r="A29" s="5"/>
      <c r="B29" s="5"/>
      <c r="C29" s="23" t="str">
        <f>k!$A$8</f>
        <v>PU</v>
      </c>
      <c r="D29" s="23" t="str">
        <f>k!$B$8</f>
        <v>PRECIO UNITARIO</v>
      </c>
      <c r="E29" s="24"/>
      <c r="F29" s="23"/>
      <c r="G29" s="25"/>
      <c r="H29" s="23">
        <f>SUM(H24:H28)+F24</f>
        <v>1702.77</v>
      </c>
    </row>
  </sheetData>
  <mergeCells count="1">
    <mergeCell ref="B6:D6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43BD2-7488-43D5-A5D4-B08094DF3DC7}">
  <dimension ref="A5:G26"/>
  <sheetViews>
    <sheetView workbookViewId="0">
      <selection activeCell="C24" sqref="C24"/>
    </sheetView>
  </sheetViews>
  <sheetFormatPr baseColWidth="10" defaultColWidth="11.5546875" defaultRowHeight="14.4" x14ac:dyDescent="0.3"/>
  <cols>
    <col min="1" max="1" width="11.5546875" style="1"/>
    <col min="2" max="2" width="51.6640625" style="1" customWidth="1"/>
    <col min="3" max="16384" width="11.5546875" style="1"/>
  </cols>
  <sheetData>
    <row r="5" spans="1:7" s="2" customFormat="1" ht="28.2" customHeight="1" thickBot="1" x14ac:dyDescent="0.35">
      <c r="A5" s="30" t="s">
        <v>2</v>
      </c>
      <c r="B5" s="30" t="s">
        <v>3</v>
      </c>
      <c r="C5" s="31" t="s">
        <v>4</v>
      </c>
      <c r="D5" s="30" t="s">
        <v>5</v>
      </c>
    </row>
    <row r="6" spans="1:7" x14ac:dyDescent="0.3">
      <c r="A6" s="1" t="s">
        <v>13</v>
      </c>
      <c r="B6" s="1" t="s">
        <v>13</v>
      </c>
      <c r="C6" s="1" t="s">
        <v>14</v>
      </c>
      <c r="D6" s="1">
        <v>2</v>
      </c>
    </row>
    <row r="7" spans="1:7" x14ac:dyDescent="0.3">
      <c r="A7" s="1" t="s">
        <v>103</v>
      </c>
      <c r="B7" s="1" t="s">
        <v>19</v>
      </c>
      <c r="C7" s="1" t="s">
        <v>20</v>
      </c>
      <c r="D7" s="1">
        <v>10</v>
      </c>
    </row>
    <row r="8" spans="1:7" x14ac:dyDescent="0.3">
      <c r="A8" s="1" t="s">
        <v>32</v>
      </c>
      <c r="B8" s="1" t="s">
        <v>32</v>
      </c>
      <c r="C8" s="1" t="s">
        <v>14</v>
      </c>
      <c r="D8" s="1">
        <v>36</v>
      </c>
    </row>
    <row r="9" spans="1:7" x14ac:dyDescent="0.3">
      <c r="A9" s="1" t="s">
        <v>104</v>
      </c>
      <c r="B9" s="1" t="s">
        <v>49</v>
      </c>
      <c r="C9" s="1" t="s">
        <v>48</v>
      </c>
      <c r="D9" s="1">
        <v>450</v>
      </c>
    </row>
    <row r="10" spans="1:7" x14ac:dyDescent="0.3">
      <c r="A10" s="1" t="s">
        <v>105</v>
      </c>
      <c r="B10" s="1" t="s">
        <v>52</v>
      </c>
      <c r="C10" s="1" t="s">
        <v>53</v>
      </c>
      <c r="D10" s="1">
        <v>2500</v>
      </c>
    </row>
    <row r="11" spans="1:7" x14ac:dyDescent="0.3">
      <c r="A11" s="1" t="s">
        <v>106</v>
      </c>
      <c r="B11" s="1" t="s">
        <v>54</v>
      </c>
      <c r="C11" s="1" t="s">
        <v>48</v>
      </c>
      <c r="D11" s="1">
        <v>500</v>
      </c>
    </row>
    <row r="12" spans="1:7" x14ac:dyDescent="0.3">
      <c r="A12" s="1" t="s">
        <v>55</v>
      </c>
      <c r="B12" s="1" t="s">
        <v>107</v>
      </c>
      <c r="C12" s="1" t="s">
        <v>48</v>
      </c>
      <c r="D12" s="1">
        <v>20</v>
      </c>
    </row>
    <row r="13" spans="1:7" x14ac:dyDescent="0.3">
      <c r="A13" s="1" t="s">
        <v>108</v>
      </c>
      <c r="B13" s="1" t="s">
        <v>64</v>
      </c>
      <c r="C13" s="1" t="s">
        <v>48</v>
      </c>
      <c r="D13" s="1">
        <v>600</v>
      </c>
      <c r="G13" s="1" t="s">
        <v>114</v>
      </c>
    </row>
    <row r="14" spans="1:7" x14ac:dyDescent="0.3">
      <c r="A14" s="1" t="s">
        <v>109</v>
      </c>
      <c r="B14" s="1" t="s">
        <v>67</v>
      </c>
      <c r="C14" s="1" t="s">
        <v>14</v>
      </c>
      <c r="D14" s="1">
        <v>18</v>
      </c>
    </row>
    <row r="15" spans="1:7" x14ac:dyDescent="0.3">
      <c r="A15" s="1" t="s">
        <v>110</v>
      </c>
      <c r="B15" s="1" t="s">
        <v>68</v>
      </c>
      <c r="C15" s="1" t="s">
        <v>14</v>
      </c>
      <c r="D15" s="1">
        <v>22</v>
      </c>
    </row>
    <row r="16" spans="1:7" x14ac:dyDescent="0.3">
      <c r="A16" s="1" t="s">
        <v>111</v>
      </c>
      <c r="B16" s="1" t="s">
        <v>69</v>
      </c>
      <c r="C16" s="1" t="s">
        <v>70</v>
      </c>
      <c r="D16" s="1">
        <v>45</v>
      </c>
    </row>
    <row r="17" spans="1:4" x14ac:dyDescent="0.3">
      <c r="A17" s="1" t="s">
        <v>116</v>
      </c>
      <c r="B17" s="1" t="s">
        <v>117</v>
      </c>
      <c r="C17" s="1" t="s">
        <v>70</v>
      </c>
      <c r="D17" s="1">
        <f>2154/1.16/19</f>
        <v>97.73</v>
      </c>
    </row>
    <row r="18" spans="1:4" x14ac:dyDescent="0.3">
      <c r="A18" s="1" t="s">
        <v>118</v>
      </c>
      <c r="B18" s="1" t="s">
        <v>119</v>
      </c>
      <c r="C18" s="1" t="s">
        <v>120</v>
      </c>
      <c r="D18" s="1">
        <v>16</v>
      </c>
    </row>
    <row r="19" spans="1:4" x14ac:dyDescent="0.3">
      <c r="A19" s="1" t="s">
        <v>121</v>
      </c>
      <c r="B19" s="1" t="s">
        <v>123</v>
      </c>
      <c r="C19" s="1" t="s">
        <v>122</v>
      </c>
      <c r="D19" s="1">
        <v>127</v>
      </c>
    </row>
    <row r="20" spans="1:4" x14ac:dyDescent="0.3">
      <c r="A20" s="1" t="s">
        <v>126</v>
      </c>
      <c r="B20" s="1" t="s">
        <v>124</v>
      </c>
      <c r="C20" s="1" t="s">
        <v>125</v>
      </c>
      <c r="D20" s="1">
        <f>3480/1.16</f>
        <v>3000</v>
      </c>
    </row>
    <row r="21" spans="1:4" x14ac:dyDescent="0.3">
      <c r="A21" s="1" t="s">
        <v>127</v>
      </c>
      <c r="B21" s="1" t="s">
        <v>128</v>
      </c>
      <c r="C21" s="1" t="s">
        <v>47</v>
      </c>
      <c r="D21" s="1">
        <v>725</v>
      </c>
    </row>
    <row r="22" spans="1:4" x14ac:dyDescent="0.3">
      <c r="A22" s="1" t="s">
        <v>129</v>
      </c>
      <c r="B22" s="1" t="s">
        <v>130</v>
      </c>
      <c r="C22" s="1" t="s">
        <v>135</v>
      </c>
      <c r="D22" s="1">
        <f>206/1.16</f>
        <v>177.59</v>
      </c>
    </row>
    <row r="23" spans="1:4" x14ac:dyDescent="0.3">
      <c r="A23" s="1" t="s">
        <v>131</v>
      </c>
      <c r="B23" s="1" t="s">
        <v>132</v>
      </c>
      <c r="C23" s="1" t="s">
        <v>135</v>
      </c>
      <c r="D23" s="1">
        <f>190/1.16</f>
        <v>163.79</v>
      </c>
    </row>
    <row r="26" spans="1:4" x14ac:dyDescent="0.3">
      <c r="A26" s="3" t="s">
        <v>18</v>
      </c>
      <c r="B26" s="3"/>
      <c r="C26" s="3"/>
      <c r="D26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9E770-8FBF-479D-A503-E7AE62A92341}">
  <dimension ref="A2:D26"/>
  <sheetViews>
    <sheetView workbookViewId="0">
      <selection activeCell="A7" sqref="A7"/>
    </sheetView>
  </sheetViews>
  <sheetFormatPr baseColWidth="10" defaultColWidth="11.5546875" defaultRowHeight="14.4" x14ac:dyDescent="0.3"/>
  <cols>
    <col min="1" max="1" width="11.5546875" style="1"/>
    <col min="2" max="2" width="36.109375" style="1" customWidth="1"/>
    <col min="3" max="16384" width="11.5546875" style="1"/>
  </cols>
  <sheetData>
    <row r="2" spans="1:4" x14ac:dyDescent="0.3">
      <c r="C2" s="1" t="s">
        <v>58</v>
      </c>
    </row>
    <row r="5" spans="1:4" s="2" customFormat="1" ht="28.2" customHeight="1" x14ac:dyDescent="0.3">
      <c r="A5" s="2" t="s">
        <v>57</v>
      </c>
      <c r="B5" s="2" t="s">
        <v>3</v>
      </c>
      <c r="C5" s="2" t="s">
        <v>4</v>
      </c>
      <c r="D5" s="2" t="s">
        <v>5</v>
      </c>
    </row>
    <row r="6" spans="1:4" x14ac:dyDescent="0.3">
      <c r="A6" s="1" t="s">
        <v>56</v>
      </c>
      <c r="B6" s="1" t="s">
        <v>60</v>
      </c>
      <c r="C6" s="1" t="s">
        <v>59</v>
      </c>
      <c r="D6" s="1">
        <v>250</v>
      </c>
    </row>
    <row r="26" spans="1:4" x14ac:dyDescent="0.3">
      <c r="A26" s="3" t="s">
        <v>18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35C7F-ED7A-40EC-8BAF-4AC5B4E95BF1}">
  <sheetPr>
    <pageSetUpPr fitToPage="1"/>
  </sheetPr>
  <dimension ref="A2:I191"/>
  <sheetViews>
    <sheetView workbookViewId="0">
      <pane xSplit="8" ySplit="5" topLeftCell="I25" activePane="bottomRight" state="frozen"/>
      <selection pane="topRight" activeCell="I1" sqref="I1"/>
      <selection pane="bottomLeft" activeCell="A6" sqref="A6"/>
      <selection pane="bottomRight" activeCell="D42" sqref="D42"/>
    </sheetView>
  </sheetViews>
  <sheetFormatPr baseColWidth="10" defaultColWidth="11.5546875" defaultRowHeight="14.4" x14ac:dyDescent="0.3"/>
  <cols>
    <col min="1" max="2" width="11.5546875" style="1"/>
    <col min="3" max="3" width="13.44140625" style="1" bestFit="1" customWidth="1"/>
    <col min="4" max="4" width="44" style="1" customWidth="1"/>
    <col min="5" max="5" width="11.5546875" style="8"/>
    <col min="6" max="7" width="11.5546875" style="1"/>
    <col min="8" max="8" width="13.88671875" style="1" customWidth="1"/>
    <col min="9" max="16384" width="11.5546875" style="1"/>
  </cols>
  <sheetData>
    <row r="2" spans="1:9" x14ac:dyDescent="0.3">
      <c r="E2" s="8" t="s">
        <v>61</v>
      </c>
    </row>
    <row r="5" spans="1:9" s="7" customFormat="1" ht="28.2" customHeight="1" thickBot="1" x14ac:dyDescent="0.35">
      <c r="A5" s="6" t="s">
        <v>1</v>
      </c>
      <c r="B5" s="6" t="s">
        <v>0</v>
      </c>
      <c r="C5" s="6" t="s">
        <v>2</v>
      </c>
      <c r="D5" s="6" t="s">
        <v>3</v>
      </c>
      <c r="E5" s="10" t="s">
        <v>4</v>
      </c>
      <c r="F5" s="6" t="s">
        <v>5</v>
      </c>
      <c r="G5" s="6" t="s">
        <v>16</v>
      </c>
      <c r="H5" s="6" t="s">
        <v>17</v>
      </c>
    </row>
    <row r="6" spans="1:9" s="9" customFormat="1" ht="47.4" customHeight="1" x14ac:dyDescent="0.3">
      <c r="A6" s="9" t="s">
        <v>50</v>
      </c>
      <c r="B6" s="9" t="s">
        <v>51</v>
      </c>
      <c r="E6" s="12" t="s">
        <v>48</v>
      </c>
      <c r="H6" s="13">
        <f>SUM(H7:H19)</f>
        <v>2752.69</v>
      </c>
    </row>
    <row r="7" spans="1:9" x14ac:dyDescent="0.3">
      <c r="C7" s="1" t="s">
        <v>105</v>
      </c>
      <c r="D7" s="4" t="str" cm="1">
        <f t="array" ref="D7:F7">IFERROR(VLOOKUP(C7,MA!$A$6:$D$26,{2,3,4},0),IFERROR(VLOOKUP(C7,MO!$A$6:$D$26,{2,3,4},0),IFERROR(VLOOKUP(C7,MQ!$A$6:$D$26,{2,3,4},0),IFERROR(VLOOKUP(C7,BA!$A$6:$H$191,{2,5,8},0),{"No encontrado","X","X"}))))</f>
        <v>CEMENTO GRIS EN SACO</v>
      </c>
      <c r="E7" s="11" t="str">
        <v>Ton</v>
      </c>
      <c r="F7" s="4">
        <v>2500</v>
      </c>
      <c r="G7" s="1">
        <v>0.5</v>
      </c>
      <c r="H7" s="4">
        <f>G7*F7</f>
        <v>1250</v>
      </c>
    </row>
    <row r="8" spans="1:9" x14ac:dyDescent="0.3">
      <c r="C8" s="1" t="s">
        <v>106</v>
      </c>
      <c r="D8" s="4" t="str" cm="1">
        <f t="array" ref="D8:F8">IFERROR(VLOOKUP(C8,MA!$A$6:$D$26,{2,3,4},0),IFERROR(VLOOKUP(C8,MO!$A$6:$D$26,{2,3,4},0),IFERROR(VLOOKUP(C8,MQ!$A$6:$D$26,{2,3,4},0),IFERROR(VLOOKUP(C8,BA!$A$6:$H$191,{2,5,8},0),{"No encontrado","X","X"}))))</f>
        <v>ARENA DE RIO L.A.B. EN OBRA</v>
      </c>
      <c r="E8" s="11" t="str">
        <v>m3</v>
      </c>
      <c r="F8" s="4">
        <v>500</v>
      </c>
      <c r="G8" s="1">
        <v>1.03</v>
      </c>
      <c r="H8" s="4">
        <f>G8*F8</f>
        <v>515</v>
      </c>
    </row>
    <row r="9" spans="1:9" x14ac:dyDescent="0.3">
      <c r="C9" s="1" t="s">
        <v>55</v>
      </c>
      <c r="D9" s="4" t="str" cm="1">
        <f t="array" ref="D9:F9">IFERROR(VLOOKUP(C9,MA!$A$6:$D$26,{2,3,4},0),IFERROR(VLOOKUP(C9,MO!$A$6:$D$26,{2,3,4},0),IFERROR(VLOOKUP(C9,MQ!$A$6:$D$26,{2,3,4},0),IFERROR(VLOOKUP(C9,BA!$A$6:$H$191,{2,5,8},0),{"No encontrado","X","X"}))))</f>
        <v>AGUA EN PIPA</v>
      </c>
      <c r="E9" s="11" t="str">
        <v>m3</v>
      </c>
      <c r="F9" s="4">
        <v>20</v>
      </c>
      <c r="G9" s="1">
        <v>0.5</v>
      </c>
      <c r="H9" s="4">
        <f>G9*F9</f>
        <v>10</v>
      </c>
    </row>
    <row r="10" spans="1:9" x14ac:dyDescent="0.3">
      <c r="D10" s="4"/>
      <c r="E10" s="11"/>
    </row>
    <row r="11" spans="1:9" x14ac:dyDescent="0.3">
      <c r="C11" s="1" t="s">
        <v>94</v>
      </c>
      <c r="D11" s="4" t="str" cm="1">
        <f t="array" ref="D11:F11">IFERROR(VLOOKUP(C11,MA!$A$6:$D$26,{2,3,4},0),IFERROR(VLOOKUP(C11,MO!$A$6:$D$26,{2,3,4},0),IFERROR(VLOOKUP(C11,MQ!$A$6:$D$26,{2,3,4},0),IFERROR(VLOOKUP(C11,BA!$A$6:$H$191,{2,5,8},0),{"No encontrado","X","X"}))))</f>
        <v>PEON</v>
      </c>
      <c r="E11" s="11" t="str">
        <v>JOR</v>
      </c>
      <c r="F11" s="4">
        <v>638.33000000000004</v>
      </c>
      <c r="G11" s="1">
        <v>1</v>
      </c>
      <c r="H11" s="4">
        <f>G11*F11</f>
        <v>638.33000000000004</v>
      </c>
    </row>
    <row r="12" spans="1:9" x14ac:dyDescent="0.3">
      <c r="D12" s="4"/>
      <c r="E12" s="11"/>
    </row>
    <row r="13" spans="1:9" x14ac:dyDescent="0.3">
      <c r="C13" s="14" t="str">
        <f>k!$A$10</f>
        <v>HE001</v>
      </c>
      <c r="D13" s="15" t="str">
        <f>k!$B$10</f>
        <v>HERRAMIENTA MENOR</v>
      </c>
      <c r="E13" s="16" t="s">
        <v>31</v>
      </c>
      <c r="F13" s="17">
        <f>SUM(H10:H11)</f>
        <v>638.33000000000004</v>
      </c>
      <c r="G13" s="15">
        <f>k!$D$10</f>
        <v>0.03</v>
      </c>
      <c r="H13" s="15">
        <f>G13*F13</f>
        <v>19.149999999999999</v>
      </c>
    </row>
    <row r="14" spans="1:9" x14ac:dyDescent="0.3">
      <c r="C14" s="14" t="str">
        <f>k!$A$11</f>
        <v>HE002</v>
      </c>
      <c r="D14" s="15" t="str">
        <f>k!$B$11</f>
        <v>MANDO INTERMEDIO</v>
      </c>
      <c r="E14" s="16" t="s">
        <v>31</v>
      </c>
      <c r="F14" s="15">
        <f>F13</f>
        <v>638.33000000000004</v>
      </c>
      <c r="G14" s="15">
        <f>k!$D$11</f>
        <v>0.1</v>
      </c>
      <c r="H14" s="15">
        <f>G14*F14</f>
        <v>63.83</v>
      </c>
      <c r="I14" s="1" t="s">
        <v>112</v>
      </c>
    </row>
    <row r="15" spans="1:9" x14ac:dyDescent="0.3">
      <c r="C15" s="14" t="str">
        <f>k!$A$12</f>
        <v>HE003</v>
      </c>
      <c r="D15" s="15" t="str">
        <f>k!$B$12</f>
        <v>EQUIPO DE SEGURIDAD</v>
      </c>
      <c r="E15" s="16" t="s">
        <v>31</v>
      </c>
      <c r="F15" s="15">
        <f t="shared" ref="F15" si="0">F14</f>
        <v>638.33000000000004</v>
      </c>
      <c r="G15" s="15">
        <f>k!$D$12</f>
        <v>0.01</v>
      </c>
      <c r="H15" s="15">
        <f>G15*F15</f>
        <v>6.38</v>
      </c>
    </row>
    <row r="16" spans="1:9" x14ac:dyDescent="0.3">
      <c r="C16" s="14"/>
      <c r="D16" s="15"/>
      <c r="E16" s="16"/>
      <c r="F16" s="15"/>
      <c r="G16" s="15"/>
      <c r="H16" s="15"/>
    </row>
    <row r="17" spans="1:8" x14ac:dyDescent="0.3">
      <c r="C17" s="14"/>
      <c r="D17" s="15"/>
      <c r="E17" s="16"/>
      <c r="F17" s="15"/>
      <c r="G17" s="15"/>
      <c r="H17" s="15"/>
    </row>
    <row r="18" spans="1:8" x14ac:dyDescent="0.3">
      <c r="D18" s="4"/>
      <c r="E18" s="11"/>
      <c r="F18" s="4"/>
      <c r="H18" s="4"/>
    </row>
    <row r="19" spans="1:8" x14ac:dyDescent="0.3">
      <c r="C19" s="1" t="s">
        <v>56</v>
      </c>
      <c r="D19" s="4" t="str" cm="1">
        <f t="array" ref="D19:F19">IFERROR(VLOOKUP(C19,MA!$A$6:$D$26,{2,3,4},0),IFERROR(VLOOKUP(C19,MO!$A$6:$D$26,{2,3,4},0),IFERROR(VLOOKUP(C19,MQ!$A$6:$D$26,{2,3,4},0),IFERROR(VLOOKUP(C19,BA!$A$6:$H$191,{2,5,8},0),{"No encontrado","X","X"}))))</f>
        <v>REVOLVEDORA 1 SACO</v>
      </c>
      <c r="E19" s="11" t="str">
        <v>Hr</v>
      </c>
      <c r="F19" s="4">
        <v>250</v>
      </c>
      <c r="G19" s="1">
        <f>8/8</f>
        <v>1</v>
      </c>
      <c r="H19" s="4">
        <f>G19*F19</f>
        <v>250</v>
      </c>
    </row>
    <row r="23" spans="1:8" s="9" customFormat="1" ht="47.4" customHeight="1" x14ac:dyDescent="0.3">
      <c r="A23" s="9" t="s">
        <v>62</v>
      </c>
      <c r="B23" s="9" t="s">
        <v>63</v>
      </c>
      <c r="E23" s="12" t="s">
        <v>48</v>
      </c>
      <c r="H23" s="13">
        <f>SUM(H24:H37)</f>
        <v>2660.49</v>
      </c>
    </row>
    <row r="24" spans="1:8" x14ac:dyDescent="0.3">
      <c r="C24" s="1" t="s">
        <v>105</v>
      </c>
      <c r="D24" s="4" t="str" cm="1">
        <f t="array" ref="D24:F24">IFERROR(VLOOKUP(C24,MA!$A$6:$D$26,{2,3,4},0),IFERROR(VLOOKUP(C24,MO!$A$6:$D$26,{2,3,4},0),IFERROR(VLOOKUP(C24,MQ!$A$6:$D$26,{2,3,4},0),IFERROR(VLOOKUP(C24,BA!$A$6:$H$191,{2,5,8},0),{"No encontrado","X","X"}))))</f>
        <v>CEMENTO GRIS EN SACO</v>
      </c>
      <c r="E24" s="11" t="str">
        <v>Ton</v>
      </c>
      <c r="F24" s="4">
        <v>2500</v>
      </c>
      <c r="G24" s="1">
        <v>0.41</v>
      </c>
      <c r="H24" s="4">
        <f t="shared" ref="H24:H37" si="1">G24*F24</f>
        <v>1025</v>
      </c>
    </row>
    <row r="25" spans="1:8" x14ac:dyDescent="0.3">
      <c r="C25" s="1" t="s">
        <v>106</v>
      </c>
      <c r="D25" s="4" t="str" cm="1">
        <f t="array" ref="D25:F25">IFERROR(VLOOKUP(C25,MA!$A$6:$D$26,{2,3,4},0),IFERROR(VLOOKUP(C25,MO!$A$6:$D$26,{2,3,4},0),IFERROR(VLOOKUP(C25,MQ!$A$6:$D$26,{2,3,4},0),IFERROR(VLOOKUP(C25,BA!$A$6:$H$191,{2,5,8},0),{"No encontrado","X","X"}))))</f>
        <v>ARENA DE RIO L.A.B. EN OBRA</v>
      </c>
      <c r="E25" s="11" t="str">
        <v>m3</v>
      </c>
      <c r="F25" s="4">
        <v>500</v>
      </c>
      <c r="G25" s="1">
        <v>0.54</v>
      </c>
      <c r="H25" s="4">
        <f t="shared" si="1"/>
        <v>270</v>
      </c>
    </row>
    <row r="26" spans="1:8" x14ac:dyDescent="0.3">
      <c r="C26" s="1" t="s">
        <v>108</v>
      </c>
      <c r="D26" s="4" t="str" cm="1">
        <f t="array" ref="D26:F26">IFERROR(VLOOKUP(C26,MA!$A$6:$D$26,{2,3,4},0),IFERROR(VLOOKUP(C26,MO!$A$6:$D$26,{2,3,4},0),IFERROR(VLOOKUP(C26,MQ!$A$6:$D$26,{2,3,4},0),IFERROR(VLOOKUP(C26,BA!$A$6:$H$191,{2,5,8},0),{"No encontrado","X","X"}))))</f>
        <v>GRAVA DE 3/4</v>
      </c>
      <c r="E26" s="11" t="str">
        <v>m3</v>
      </c>
      <c r="F26" s="4">
        <v>600</v>
      </c>
      <c r="G26" s="1">
        <v>0.64</v>
      </c>
      <c r="H26" s="4">
        <f t="shared" si="1"/>
        <v>384</v>
      </c>
    </row>
    <row r="27" spans="1:8" x14ac:dyDescent="0.3">
      <c r="C27" s="1" t="s">
        <v>55</v>
      </c>
      <c r="D27" s="4" t="str" cm="1">
        <f t="array" ref="D27:F27">IFERROR(VLOOKUP(C27,MA!$A$6:$D$26,{2,3,4},0),IFERROR(VLOOKUP(C27,MO!$A$6:$D$26,{2,3,4},0),IFERROR(VLOOKUP(C27,MQ!$A$6:$D$26,{2,3,4},0),IFERROR(VLOOKUP(C27,BA!$A$6:$H$191,{2,5,8},0),{"No encontrado","X","X"}))))</f>
        <v>AGUA EN PIPA</v>
      </c>
      <c r="E27" s="11" t="str">
        <v>m3</v>
      </c>
      <c r="F27" s="4">
        <v>20</v>
      </c>
      <c r="G27" s="1">
        <v>0.19</v>
      </c>
      <c r="H27" s="4">
        <f t="shared" si="1"/>
        <v>3.8</v>
      </c>
    </row>
    <row r="28" spans="1:8" x14ac:dyDescent="0.3">
      <c r="D28" s="4"/>
      <c r="E28" s="11"/>
      <c r="F28" s="4"/>
      <c r="H28" s="4"/>
    </row>
    <row r="29" spans="1:8" x14ac:dyDescent="0.3">
      <c r="C29" s="1" t="s">
        <v>94</v>
      </c>
      <c r="D29" s="4" t="str" cm="1">
        <f t="array" ref="D29:F29">IFERROR(VLOOKUP(C29,MA!$A$6:$D$26,{2,3,4},0),IFERROR(VLOOKUP(C29,MO!$A$6:$D$26,{2,3,4},0),IFERROR(VLOOKUP(C29,MQ!$A$6:$D$26,{2,3,4},0),IFERROR(VLOOKUP(C29,BA!$A$6:$H$191,{2,5,8},0),{"No encontrado","X","X"}))))</f>
        <v>PEON</v>
      </c>
      <c r="E29" s="11" t="str">
        <v>JOR</v>
      </c>
      <c r="F29" s="4">
        <v>638.33000000000004</v>
      </c>
      <c r="G29" s="1">
        <v>1</v>
      </c>
      <c r="H29" s="4">
        <f t="shared" si="1"/>
        <v>638.33000000000004</v>
      </c>
    </row>
    <row r="30" spans="1:8" x14ac:dyDescent="0.3">
      <c r="D30" s="4"/>
      <c r="E30" s="11"/>
      <c r="F30" s="4"/>
      <c r="H30" s="4"/>
    </row>
    <row r="31" spans="1:8" x14ac:dyDescent="0.3">
      <c r="C31" s="14" t="str">
        <f>k!$A$10</f>
        <v>HE001</v>
      </c>
      <c r="D31" s="15" t="str">
        <f>k!$B$10</f>
        <v>HERRAMIENTA MENOR</v>
      </c>
      <c r="E31" s="16" t="s">
        <v>31</v>
      </c>
      <c r="F31" s="17">
        <f>SUM(H28:H29)</f>
        <v>638.33000000000004</v>
      </c>
      <c r="G31" s="15">
        <f>k!$D$10</f>
        <v>0.03</v>
      </c>
      <c r="H31" s="15">
        <f>G31*F31</f>
        <v>19.149999999999999</v>
      </c>
    </row>
    <row r="32" spans="1:8" x14ac:dyDescent="0.3">
      <c r="C32" s="14" t="str">
        <f>k!$A$11</f>
        <v>HE002</v>
      </c>
      <c r="D32" s="15" t="str">
        <f>k!$B$11</f>
        <v>MANDO INTERMEDIO</v>
      </c>
      <c r="E32" s="16" t="s">
        <v>31</v>
      </c>
      <c r="F32" s="15">
        <f>F31</f>
        <v>638.33000000000004</v>
      </c>
      <c r="G32" s="15">
        <f>k!$D$11</f>
        <v>0.1</v>
      </c>
      <c r="H32" s="15">
        <f>G32*F32</f>
        <v>63.83</v>
      </c>
    </row>
    <row r="33" spans="1:8" x14ac:dyDescent="0.3">
      <c r="C33" s="14" t="str">
        <f>k!$A$12</f>
        <v>HE003</v>
      </c>
      <c r="D33" s="15" t="str">
        <f>k!$B$12</f>
        <v>EQUIPO DE SEGURIDAD</v>
      </c>
      <c r="E33" s="16" t="s">
        <v>31</v>
      </c>
      <c r="F33" s="15">
        <f t="shared" ref="F33" si="2">F32</f>
        <v>638.33000000000004</v>
      </c>
      <c r="G33" s="15">
        <f>k!$D$12</f>
        <v>0.01</v>
      </c>
      <c r="H33" s="15">
        <f>G33*F33</f>
        <v>6.38</v>
      </c>
    </row>
    <row r="34" spans="1:8" x14ac:dyDescent="0.3">
      <c r="C34" s="14"/>
      <c r="D34" s="15"/>
      <c r="E34" s="16"/>
      <c r="F34" s="15"/>
      <c r="G34" s="15"/>
      <c r="H34" s="15"/>
    </row>
    <row r="35" spans="1:8" x14ac:dyDescent="0.3">
      <c r="C35" s="14"/>
      <c r="D35" s="15"/>
      <c r="E35" s="16"/>
      <c r="F35" s="15"/>
      <c r="G35" s="15"/>
      <c r="H35" s="15"/>
    </row>
    <row r="36" spans="1:8" x14ac:dyDescent="0.3">
      <c r="D36" s="4"/>
      <c r="E36" s="11"/>
      <c r="F36" s="4"/>
      <c r="H36" s="4"/>
    </row>
    <row r="37" spans="1:8" x14ac:dyDescent="0.3">
      <c r="C37" s="1" t="s">
        <v>56</v>
      </c>
      <c r="D37" s="4" t="str" cm="1">
        <f t="array" ref="D37:F37">IFERROR(VLOOKUP(C37,MA!$A$6:$D$26,{2,3,4},0),IFERROR(VLOOKUP(C37,MO!$A$6:$D$26,{2,3,4},0),IFERROR(VLOOKUP(C37,MQ!$A$6:$D$26,{2,3,4},0),IFERROR(VLOOKUP(C37,BA!$A$6:$H$191,{2,5,8},0),{"No encontrado","X","X"}))))</f>
        <v>REVOLVEDORA 1 SACO</v>
      </c>
      <c r="E37" s="11" t="str">
        <v>Hr</v>
      </c>
      <c r="F37" s="4">
        <v>250</v>
      </c>
      <c r="G37" s="1">
        <v>1</v>
      </c>
      <c r="H37" s="4">
        <f t="shared" si="1"/>
        <v>250</v>
      </c>
    </row>
    <row r="39" spans="1:8" x14ac:dyDescent="0.3">
      <c r="A39" s="9" t="s">
        <v>65</v>
      </c>
      <c r="B39" s="9" t="s">
        <v>113</v>
      </c>
      <c r="C39" s="9"/>
      <c r="D39" s="9"/>
      <c r="E39" s="12" t="s">
        <v>48</v>
      </c>
      <c r="F39" s="9"/>
      <c r="G39" s="9"/>
      <c r="H39" s="13">
        <f>SUM(H40:H53)</f>
        <v>2460.69</v>
      </c>
    </row>
    <row r="40" spans="1:8" s="9" customFormat="1" ht="47.4" customHeight="1" x14ac:dyDescent="0.3">
      <c r="A40" s="1"/>
      <c r="B40" s="1"/>
      <c r="C40" s="1" t="s">
        <v>105</v>
      </c>
      <c r="D40" s="4" t="str" cm="1">
        <f t="array" ref="D40:F40">IFERROR(VLOOKUP(C40,MA!$A$6:$D$26,{2,3,4},0),IFERROR(VLOOKUP(C40,MO!$A$6:$D$26,{2,3,4},0),IFERROR(VLOOKUP(C40,MQ!$A$6:$D$26,{2,3,4},0),IFERROR(VLOOKUP(C40,BA!$A$6:$H$191,{2,5,8},0),{"No encontrado","X","X"}))))</f>
        <v>CEMENTO GRIS EN SACO</v>
      </c>
      <c r="E40" s="11" t="str">
        <v>Ton</v>
      </c>
      <c r="F40" s="4">
        <v>2500</v>
      </c>
      <c r="G40" s="36">
        <v>0.32600000000000001</v>
      </c>
      <c r="H40" s="4">
        <f t="shared" ref="H40:H43" si="3">G40*F40</f>
        <v>815</v>
      </c>
    </row>
    <row r="41" spans="1:8" x14ac:dyDescent="0.3">
      <c r="C41" s="1" t="s">
        <v>106</v>
      </c>
      <c r="D41" s="4" t="str" cm="1">
        <f t="array" ref="D41:F41">IFERROR(VLOOKUP(C41,MA!$A$6:$D$26,{2,3,4},0),IFERROR(VLOOKUP(C41,MO!$A$6:$D$26,{2,3,4},0),IFERROR(VLOOKUP(C41,MQ!$A$6:$D$26,{2,3,4},0),IFERROR(VLOOKUP(C41,BA!$A$6:$H$191,{2,5,8},0),{"No encontrado","X","X"}))))</f>
        <v>ARENA DE RIO L.A.B. EN OBRA</v>
      </c>
      <c r="E41" s="11" t="str">
        <v>m3</v>
      </c>
      <c r="F41" s="4">
        <v>500</v>
      </c>
      <c r="G41" s="36">
        <v>0.53600000000000003</v>
      </c>
      <c r="H41" s="4">
        <f t="shared" si="3"/>
        <v>268</v>
      </c>
    </row>
    <row r="42" spans="1:8" x14ac:dyDescent="0.3">
      <c r="C42" s="1" t="s">
        <v>108</v>
      </c>
      <c r="D42" s="4" t="str" cm="1">
        <f t="array" ref="D42:F42">IFERROR(VLOOKUP(C42,MA!$A$6:$D$26,{2,3,4},0),IFERROR(VLOOKUP(C42,MO!$A$6:$D$26,{2,3,4},0),IFERROR(VLOOKUP(C42,MQ!$A$6:$D$26,{2,3,4},0),IFERROR(VLOOKUP(C42,BA!$A$6:$H$191,{2,5,8},0),{"No encontrado","X","X"}))))</f>
        <v>GRAVA DE 3/4</v>
      </c>
      <c r="E42" s="11" t="str">
        <v>m3</v>
      </c>
      <c r="F42" s="4">
        <v>600</v>
      </c>
      <c r="G42" s="36">
        <v>0.65</v>
      </c>
      <c r="H42" s="4">
        <f t="shared" si="3"/>
        <v>390</v>
      </c>
    </row>
    <row r="43" spans="1:8" x14ac:dyDescent="0.3">
      <c r="C43" s="1" t="s">
        <v>55</v>
      </c>
      <c r="D43" s="4" t="str" cm="1">
        <f t="array" ref="D43:F43">IFERROR(VLOOKUP(C43,MA!$A$6:$D$26,{2,3,4},0),IFERROR(VLOOKUP(C43,MO!$A$6:$D$26,{2,3,4},0),IFERROR(VLOOKUP(C43,MQ!$A$6:$D$26,{2,3,4},0),IFERROR(VLOOKUP(C43,BA!$A$6:$H$191,{2,5,8},0),{"No encontrado","X","X"}))))</f>
        <v>AGUA EN PIPA</v>
      </c>
      <c r="E43" s="11" t="str">
        <v>m3</v>
      </c>
      <c r="F43" s="4">
        <v>20</v>
      </c>
      <c r="G43" s="1">
        <v>0.5</v>
      </c>
      <c r="H43" s="4">
        <f t="shared" si="3"/>
        <v>10</v>
      </c>
    </row>
    <row r="44" spans="1:8" x14ac:dyDescent="0.3">
      <c r="D44" s="4"/>
      <c r="E44" s="11"/>
      <c r="F44" s="4"/>
      <c r="H44" s="4"/>
    </row>
    <row r="45" spans="1:8" x14ac:dyDescent="0.3">
      <c r="C45" s="1" t="s">
        <v>94</v>
      </c>
      <c r="D45" s="4" t="str" cm="1">
        <f t="array" ref="D45:F45">IFERROR(VLOOKUP(C45,MA!$A$6:$D$26,{2,3,4},0),IFERROR(VLOOKUP(C45,MO!$A$6:$D$26,{2,3,4},0),IFERROR(VLOOKUP(C45,MQ!$A$6:$D$26,{2,3,4},0),IFERROR(VLOOKUP(C45,BA!$A$6:$H$191,{2,5,8},0),{"No encontrado","X","X"}))))</f>
        <v>PEON</v>
      </c>
      <c r="E45" s="11" t="str">
        <v>JOR</v>
      </c>
      <c r="F45" s="4">
        <v>638.33000000000004</v>
      </c>
      <c r="G45" s="1">
        <v>1</v>
      </c>
      <c r="H45" s="4">
        <f t="shared" ref="H45" si="4">G45*F45</f>
        <v>638.33000000000004</v>
      </c>
    </row>
    <row r="46" spans="1:8" x14ac:dyDescent="0.3">
      <c r="D46" s="4"/>
      <c r="E46" s="11"/>
      <c r="F46" s="4"/>
      <c r="H46" s="4"/>
    </row>
    <row r="47" spans="1:8" x14ac:dyDescent="0.3">
      <c r="C47" s="14" t="str">
        <f>k!$A$10</f>
        <v>HE001</v>
      </c>
      <c r="D47" s="15" t="str">
        <f>k!$B$10</f>
        <v>HERRAMIENTA MENOR</v>
      </c>
      <c r="E47" s="16" t="s">
        <v>31</v>
      </c>
      <c r="F47" s="17">
        <f>SUM(H44:H45)</f>
        <v>638.33000000000004</v>
      </c>
      <c r="G47" s="15">
        <f>k!$D$10</f>
        <v>0.03</v>
      </c>
      <c r="H47" s="15">
        <f>G47*F47</f>
        <v>19.149999999999999</v>
      </c>
    </row>
    <row r="48" spans="1:8" x14ac:dyDescent="0.3">
      <c r="C48" s="14" t="str">
        <f>k!$A$11</f>
        <v>HE002</v>
      </c>
      <c r="D48" s="15" t="str">
        <f>k!$B$11</f>
        <v>MANDO INTERMEDIO</v>
      </c>
      <c r="E48" s="16" t="s">
        <v>31</v>
      </c>
      <c r="F48" s="15">
        <f>F47</f>
        <v>638.33000000000004</v>
      </c>
      <c r="G48" s="15">
        <f>k!$D$11</f>
        <v>0.1</v>
      </c>
      <c r="H48" s="15">
        <f>G48*F48</f>
        <v>63.83</v>
      </c>
    </row>
    <row r="49" spans="1:8" x14ac:dyDescent="0.3">
      <c r="C49" s="14" t="str">
        <f>k!$A$12</f>
        <v>HE003</v>
      </c>
      <c r="D49" s="15" t="str">
        <f>k!$B$12</f>
        <v>EQUIPO DE SEGURIDAD</v>
      </c>
      <c r="E49" s="16" t="s">
        <v>31</v>
      </c>
      <c r="F49" s="15">
        <f t="shared" ref="F49" si="5">F48</f>
        <v>638.33000000000004</v>
      </c>
      <c r="G49" s="15">
        <f>k!$D$12</f>
        <v>0.01</v>
      </c>
      <c r="H49" s="15">
        <f>G49*F49</f>
        <v>6.38</v>
      </c>
    </row>
    <row r="50" spans="1:8" x14ac:dyDescent="0.3">
      <c r="C50" s="14"/>
      <c r="D50" s="15"/>
      <c r="E50" s="16"/>
      <c r="F50" s="15"/>
      <c r="G50" s="15"/>
      <c r="H50" s="15"/>
    </row>
    <row r="51" spans="1:8" x14ac:dyDescent="0.3">
      <c r="C51" s="14"/>
      <c r="D51" s="15"/>
      <c r="E51" s="16"/>
      <c r="F51" s="15"/>
      <c r="G51" s="15"/>
      <c r="H51" s="15"/>
    </row>
    <row r="52" spans="1:8" x14ac:dyDescent="0.3">
      <c r="D52" s="4"/>
      <c r="E52" s="11"/>
      <c r="F52" s="4"/>
      <c r="H52" s="4"/>
    </row>
    <row r="53" spans="1:8" x14ac:dyDescent="0.3">
      <c r="C53" s="1" t="s">
        <v>56</v>
      </c>
      <c r="D53" s="4" t="str" cm="1">
        <f t="array" ref="D53:F53">IFERROR(VLOOKUP(C53,MA!$A$6:$D$26,{2,3,4},0),IFERROR(VLOOKUP(C53,MO!$A$6:$D$26,{2,3,4},0),IFERROR(VLOOKUP(C53,MQ!$A$6:$D$26,{2,3,4},0),IFERROR(VLOOKUP(C53,BA!$A$6:$H$191,{2,5,8},0),{"No encontrado","X","X"}))))</f>
        <v>REVOLVEDORA 1 SACO</v>
      </c>
      <c r="E53" s="11" t="str">
        <v>Hr</v>
      </c>
      <c r="F53" s="4">
        <v>250</v>
      </c>
      <c r="G53" s="1">
        <v>1</v>
      </c>
      <c r="H53" s="4">
        <f t="shared" ref="H53" si="6">G53*F53</f>
        <v>250</v>
      </c>
    </row>
    <row r="56" spans="1:8" x14ac:dyDescent="0.3">
      <c r="A56" s="9" t="s">
        <v>115</v>
      </c>
      <c r="B56" s="9" t="s">
        <v>66</v>
      </c>
      <c r="C56" s="9"/>
      <c r="D56" s="9"/>
      <c r="E56" s="12" t="s">
        <v>47</v>
      </c>
      <c r="F56" s="9"/>
      <c r="G56" s="9"/>
      <c r="H56" s="13">
        <f>SUM(H57:H69)</f>
        <v>414.96</v>
      </c>
    </row>
    <row r="57" spans="1:8" x14ac:dyDescent="0.3">
      <c r="C57" s="1" t="s">
        <v>103</v>
      </c>
      <c r="D57" s="4" t="str" cm="1">
        <f t="array" ref="D57:F57">IFERROR(VLOOKUP(C57,MA!$A$6:$D$26,{2,3,4},0),IFERROR(VLOOKUP(C57,MO!$A$6:$D$26,{2,3,4},0),IFERROR(VLOOKUP(C57,MQ!$A$6:$D$26,{2,3,4},0),IFERROR(VLOOKUP(C57,BA!$A$6:$H$191,{2,5,8},0),{"No encontrado","X","X"}))))</f>
        <v>MADERA DE PINO DE TERCERA</v>
      </c>
      <c r="E57" s="11" t="str">
        <v>Pt</v>
      </c>
      <c r="F57" s="4">
        <v>10</v>
      </c>
      <c r="G57" s="1">
        <f>11/5*1.25</f>
        <v>2.75</v>
      </c>
      <c r="H57" s="4">
        <f t="shared" ref="H57:H62" si="7">G57*F57</f>
        <v>27.5</v>
      </c>
    </row>
    <row r="58" spans="1:8" x14ac:dyDescent="0.3">
      <c r="C58" s="1" t="s">
        <v>32</v>
      </c>
      <c r="D58" s="4" t="str" cm="1">
        <f t="array" ref="D58:F58">IFERROR(VLOOKUP(C58,MA!$A$6:$D$26,{2,3,4},0),IFERROR(VLOOKUP(C58,MO!$A$6:$D$26,{2,3,4},0),IFERROR(VLOOKUP(C58,MQ!$A$6:$D$26,{2,3,4},0),IFERROR(VLOOKUP(C58,BA!$A$6:$H$191,{2,5,8},0),{"No encontrado","X","X"}))))</f>
        <v>CLAVO</v>
      </c>
      <c r="E58" s="11" t="str">
        <v>Kg</v>
      </c>
      <c r="F58" s="4">
        <v>36</v>
      </c>
      <c r="G58" s="1">
        <v>0.1</v>
      </c>
      <c r="H58" s="4">
        <f t="shared" si="7"/>
        <v>3.6</v>
      </c>
    </row>
    <row r="59" spans="1:8" x14ac:dyDescent="0.3">
      <c r="C59" s="1" t="s">
        <v>110</v>
      </c>
      <c r="D59" s="4" t="str" cm="1">
        <f t="array" ref="D59:F59">IFERROR(VLOOKUP(C59,MA!$A$6:$D$26,{2,3,4},0),IFERROR(VLOOKUP(C59,MO!$A$6:$D$26,{2,3,4},0),IFERROR(VLOOKUP(C59,MQ!$A$6:$D$26,{2,3,4},0),IFERROR(VLOOKUP(C59,BA!$A$6:$H$191,{2,5,8},0),{"No encontrado","X","X"}))))</f>
        <v>ALAMBRE RECOCIDO</v>
      </c>
      <c r="E59" s="11" t="str">
        <v>Kg</v>
      </c>
      <c r="F59" s="4">
        <v>22</v>
      </c>
      <c r="G59" s="1">
        <v>0.5</v>
      </c>
      <c r="H59" s="4">
        <f t="shared" ref="H59" si="8">G59*F59</f>
        <v>11</v>
      </c>
    </row>
    <row r="60" spans="1:8" x14ac:dyDescent="0.3">
      <c r="C60" s="1" t="s">
        <v>116</v>
      </c>
      <c r="D60" s="4" t="str" cm="1">
        <f t="array" ref="D60:F60">IFERROR(VLOOKUP(C60,MA!$A$6:$D$26,{2,3,4},0),IFERROR(VLOOKUP(C60,MO!$A$6:$D$26,{2,3,4},0),IFERROR(VLOOKUP(C60,MQ!$A$6:$D$26,{2,3,4},0),IFERROR(VLOOKUP(C60,BA!$A$6:$H$191,{2,5,8},0),{"No encontrado","X","X"}))))</f>
        <v>DESMOLDANTE</v>
      </c>
      <c r="E60" s="11" t="str">
        <v>Lt</v>
      </c>
      <c r="F60" s="4">
        <v>97.73</v>
      </c>
      <c r="G60" s="1">
        <f>1/5</f>
        <v>0.2</v>
      </c>
      <c r="H60" s="4">
        <f t="shared" si="7"/>
        <v>19.55</v>
      </c>
    </row>
    <row r="61" spans="1:8" x14ac:dyDescent="0.3">
      <c r="D61" s="4"/>
      <c r="E61" s="11"/>
      <c r="F61" s="4"/>
      <c r="H61" s="4"/>
    </row>
    <row r="62" spans="1:8" x14ac:dyDescent="0.3">
      <c r="C62" s="1" t="s">
        <v>12</v>
      </c>
      <c r="D62" s="4" t="str" cm="1">
        <f t="array" ref="D62:F62">IFERROR(VLOOKUP(C62,MA!$A$6:$D$26,{2,3,4},0),IFERROR(VLOOKUP(C62,MO!$A$6:$D$26,{2,3,4},0),IFERROR(VLOOKUP(C62,MQ!$A$6:$D$26,{2,3,4},0),IFERROR(VLOOKUP(C62,BA!$A$6:$H$191,{2,5,8},0),{"No encontrado","X","X"}))))</f>
        <v>CARPINTERO DE OBRA NEGRA, OFICIAL</v>
      </c>
      <c r="E62" s="11" t="str">
        <v>JOR</v>
      </c>
      <c r="F62" s="4">
        <v>881.24</v>
      </c>
      <c r="G62" s="1">
        <f>1/5</f>
        <v>0.2</v>
      </c>
      <c r="H62" s="4">
        <f t="shared" si="7"/>
        <v>176.25</v>
      </c>
    </row>
    <row r="63" spans="1:8" x14ac:dyDescent="0.3">
      <c r="C63" s="1" t="s">
        <v>10</v>
      </c>
      <c r="D63" s="4" t="str" cm="1">
        <f t="array" ref="D63:F63">IFERROR(VLOOKUP(C63,MA!$A$6:$D$26,{2,3,4},0),IFERROR(VLOOKUP(C63,MO!$A$6:$D$26,{2,3,4},0),IFERROR(VLOOKUP(C63,MQ!$A$6:$D$26,{2,3,4},0),IFERROR(VLOOKUP(C63,BA!$A$6:$H$191,{2,5,8},0),{"No encontrado","X","X"}))))</f>
        <v xml:space="preserve">AYUDANTE GENERAL </v>
      </c>
      <c r="E63" s="11" t="str">
        <v>JOR</v>
      </c>
      <c r="F63" s="4">
        <v>668.33</v>
      </c>
      <c r="G63" s="1">
        <f>1/5</f>
        <v>0.2</v>
      </c>
      <c r="H63" s="4">
        <f t="shared" ref="H63" si="9">G63*F63</f>
        <v>133.66999999999999</v>
      </c>
    </row>
    <row r="64" spans="1:8" x14ac:dyDescent="0.3">
      <c r="D64" s="4"/>
      <c r="E64" s="11"/>
      <c r="F64" s="4"/>
      <c r="H64" s="4"/>
    </row>
    <row r="65" spans="3:8" x14ac:dyDescent="0.3">
      <c r="C65" s="14" t="str">
        <f>k!$A$10</f>
        <v>HE001</v>
      </c>
      <c r="D65" s="15" t="str">
        <f>k!$B$10</f>
        <v>HERRAMIENTA MENOR</v>
      </c>
      <c r="E65" s="16" t="s">
        <v>31</v>
      </c>
      <c r="F65" s="17">
        <f>SUM(H62:H63)</f>
        <v>309.92</v>
      </c>
      <c r="G65" s="15">
        <f>k!$D$10</f>
        <v>0.03</v>
      </c>
      <c r="H65" s="15">
        <f>G65*F65</f>
        <v>9.3000000000000007</v>
      </c>
    </row>
    <row r="66" spans="3:8" x14ac:dyDescent="0.3">
      <c r="C66" s="14" t="str">
        <f>k!$A$11</f>
        <v>HE002</v>
      </c>
      <c r="D66" s="15" t="str">
        <f>k!$B$11</f>
        <v>MANDO INTERMEDIO</v>
      </c>
      <c r="E66" s="16" t="s">
        <v>31</v>
      </c>
      <c r="F66" s="15">
        <f>F65</f>
        <v>309.92</v>
      </c>
      <c r="G66" s="15">
        <f>k!$D$11</f>
        <v>0.1</v>
      </c>
      <c r="H66" s="15">
        <f>G66*F66</f>
        <v>30.99</v>
      </c>
    </row>
    <row r="67" spans="3:8" x14ac:dyDescent="0.3">
      <c r="C67" s="14" t="str">
        <f>k!$A$12</f>
        <v>HE003</v>
      </c>
      <c r="D67" s="15" t="str">
        <f>k!$B$12</f>
        <v>EQUIPO DE SEGURIDAD</v>
      </c>
      <c r="E67" s="16" t="s">
        <v>31</v>
      </c>
      <c r="F67" s="15">
        <f t="shared" ref="F67" si="10">F66</f>
        <v>309.92</v>
      </c>
      <c r="G67" s="15">
        <f>k!$D$12</f>
        <v>0.01</v>
      </c>
      <c r="H67" s="15">
        <f>G67*F67</f>
        <v>3.1</v>
      </c>
    </row>
    <row r="68" spans="3:8" x14ac:dyDescent="0.3">
      <c r="C68" s="14"/>
      <c r="D68" s="15"/>
      <c r="E68" s="16"/>
      <c r="F68" s="15"/>
      <c r="G68" s="15"/>
      <c r="H68" s="15"/>
    </row>
    <row r="69" spans="3:8" x14ac:dyDescent="0.3">
      <c r="C69" s="14"/>
      <c r="D69" s="15"/>
      <c r="E69" s="16"/>
      <c r="F69" s="15"/>
      <c r="G69" s="15"/>
      <c r="H69" s="15"/>
    </row>
    <row r="191" spans="1:5" x14ac:dyDescent="0.3">
      <c r="A191" s="3" t="s">
        <v>18</v>
      </c>
      <c r="B191" s="3"/>
      <c r="C191" s="3"/>
      <c r="D191" s="3"/>
      <c r="E191" s="1"/>
    </row>
  </sheetData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F9762-7E5C-4226-BA27-750692A9F853}">
  <dimension ref="A1:N14"/>
  <sheetViews>
    <sheetView workbookViewId="0">
      <selection activeCell="D8" sqref="D8"/>
    </sheetView>
  </sheetViews>
  <sheetFormatPr baseColWidth="10" defaultRowHeight="14.4" x14ac:dyDescent="0.3"/>
  <sheetData>
    <row r="1" spans="1:14" x14ac:dyDescent="0.3">
      <c r="A1" t="s">
        <v>38</v>
      </c>
    </row>
    <row r="2" spans="1:14" x14ac:dyDescent="0.3">
      <c r="A2" s="26" t="s">
        <v>33</v>
      </c>
      <c r="B2" s="26" t="s">
        <v>34</v>
      </c>
      <c r="C2" s="26"/>
      <c r="D2" s="26"/>
      <c r="G2" s="32"/>
      <c r="H2" s="33">
        <f>1/3</f>
        <v>0.33</v>
      </c>
      <c r="I2" s="32"/>
      <c r="J2" s="32"/>
      <c r="K2" s="32"/>
      <c r="L2" s="32"/>
      <c r="M2" s="32"/>
      <c r="N2" s="32"/>
    </row>
    <row r="3" spans="1:14" x14ac:dyDescent="0.3">
      <c r="A3" s="26" t="s">
        <v>35</v>
      </c>
      <c r="B3" s="26" t="s">
        <v>37</v>
      </c>
      <c r="C3" s="26"/>
      <c r="D3" s="27">
        <v>0.15</v>
      </c>
      <c r="G3" s="32"/>
      <c r="H3" s="33">
        <f t="shared" ref="H3:H4" si="0">1/3</f>
        <v>0.33</v>
      </c>
      <c r="I3" s="32"/>
      <c r="J3" s="32"/>
      <c r="K3" s="32"/>
      <c r="L3" s="32"/>
      <c r="M3" s="32"/>
      <c r="N3" s="32"/>
    </row>
    <row r="4" spans="1:14" x14ac:dyDescent="0.3">
      <c r="A4" s="26" t="s">
        <v>36</v>
      </c>
      <c r="B4" s="26" t="s">
        <v>39</v>
      </c>
      <c r="C4" s="26"/>
      <c r="D4" s="27">
        <v>0.2</v>
      </c>
      <c r="G4" s="32"/>
      <c r="H4" s="34">
        <f t="shared" si="0"/>
        <v>0.33</v>
      </c>
      <c r="I4" s="32"/>
      <c r="J4" s="32"/>
      <c r="K4" s="32"/>
      <c r="L4" s="32"/>
      <c r="M4" s="32"/>
      <c r="N4" s="32"/>
    </row>
    <row r="5" spans="1:14" x14ac:dyDescent="0.3">
      <c r="A5" s="26" t="s">
        <v>40</v>
      </c>
      <c r="B5" s="26" t="s">
        <v>41</v>
      </c>
      <c r="C5" s="26"/>
      <c r="D5" s="27">
        <v>0.56000000000000005</v>
      </c>
      <c r="G5" s="32"/>
      <c r="H5" s="32">
        <f>SUM(H2:H4)</f>
        <v>0.99</v>
      </c>
      <c r="I5" s="32" t="s">
        <v>72</v>
      </c>
      <c r="J5" s="32"/>
      <c r="K5" s="32"/>
      <c r="L5" s="32"/>
      <c r="M5" s="32"/>
      <c r="N5" s="32"/>
    </row>
    <row r="6" spans="1:14" x14ac:dyDescent="0.3">
      <c r="A6" s="26" t="s">
        <v>42</v>
      </c>
      <c r="B6" s="26" t="s">
        <v>43</v>
      </c>
      <c r="C6" s="26"/>
      <c r="D6" s="27">
        <v>0.1</v>
      </c>
      <c r="G6" s="32"/>
      <c r="H6" s="32"/>
      <c r="I6" s="32" t="s">
        <v>73</v>
      </c>
      <c r="J6" s="32"/>
      <c r="K6" s="32"/>
      <c r="L6" s="32"/>
      <c r="M6" s="32"/>
      <c r="N6" s="32"/>
    </row>
    <row r="7" spans="1:14" x14ac:dyDescent="0.3">
      <c r="A7" s="26" t="s">
        <v>44</v>
      </c>
      <c r="B7" s="26" t="s">
        <v>45</v>
      </c>
      <c r="C7" s="26"/>
      <c r="D7" s="27">
        <v>0</v>
      </c>
    </row>
    <row r="8" spans="1:14" x14ac:dyDescent="0.3">
      <c r="A8" s="26" t="s">
        <v>15</v>
      </c>
      <c r="B8" s="26" t="s">
        <v>46</v>
      </c>
      <c r="C8" s="26"/>
      <c r="D8" s="27"/>
    </row>
    <row r="10" spans="1:14" x14ac:dyDescent="0.3">
      <c r="A10" s="28" t="s">
        <v>21</v>
      </c>
      <c r="B10" s="28" t="s">
        <v>22</v>
      </c>
      <c r="C10" s="28"/>
      <c r="D10" s="29">
        <v>0.03</v>
      </c>
    </row>
    <row r="11" spans="1:14" x14ac:dyDescent="0.3">
      <c r="A11" s="28" t="s">
        <v>23</v>
      </c>
      <c r="B11" s="28" t="s">
        <v>26</v>
      </c>
      <c r="C11" s="28"/>
      <c r="D11" s="29">
        <v>0.1</v>
      </c>
    </row>
    <row r="12" spans="1:14" x14ac:dyDescent="0.3">
      <c r="A12" s="28" t="s">
        <v>24</v>
      </c>
      <c r="B12" s="28" t="s">
        <v>27</v>
      </c>
      <c r="C12" s="28"/>
      <c r="D12" s="29">
        <v>0.01</v>
      </c>
    </row>
    <row r="13" spans="1:14" x14ac:dyDescent="0.3">
      <c r="A13" s="28" t="s">
        <v>25</v>
      </c>
      <c r="B13" s="28" t="s">
        <v>28</v>
      </c>
      <c r="C13" s="28"/>
      <c r="D13" s="29">
        <v>0</v>
      </c>
    </row>
    <row r="14" spans="1:14" x14ac:dyDescent="0.3">
      <c r="A14" s="28" t="s">
        <v>29</v>
      </c>
      <c r="B14" s="28" t="s">
        <v>30</v>
      </c>
      <c r="C14" s="28"/>
      <c r="D14" s="29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5FDEB-FB7B-4696-BFC5-4725817B4173}">
  <dimension ref="A5:D26"/>
  <sheetViews>
    <sheetView workbookViewId="0">
      <selection activeCell="A8" sqref="A8"/>
    </sheetView>
  </sheetViews>
  <sheetFormatPr baseColWidth="10" defaultColWidth="11.5546875" defaultRowHeight="14.4" x14ac:dyDescent="0.3"/>
  <cols>
    <col min="1" max="1" width="11.5546875" style="1"/>
    <col min="2" max="2" width="36.109375" style="1" customWidth="1"/>
    <col min="3" max="16384" width="11.5546875" style="1"/>
  </cols>
  <sheetData>
    <row r="5" spans="1:4" s="2" customFormat="1" ht="28.2" customHeight="1" x14ac:dyDescent="0.3">
      <c r="A5" s="2" t="s">
        <v>6</v>
      </c>
      <c r="B5" s="2" t="s">
        <v>3</v>
      </c>
      <c r="C5" s="2" t="s">
        <v>4</v>
      </c>
      <c r="D5" s="2" t="s">
        <v>5</v>
      </c>
    </row>
    <row r="6" spans="1:4" x14ac:dyDescent="0.3">
      <c r="A6" s="1" t="s">
        <v>7</v>
      </c>
      <c r="B6" s="1" t="s">
        <v>74</v>
      </c>
      <c r="C6" s="1" t="s">
        <v>9</v>
      </c>
      <c r="D6" s="1">
        <v>879.73</v>
      </c>
    </row>
    <row r="7" spans="1:4" x14ac:dyDescent="0.3">
      <c r="A7" s="1" t="s">
        <v>10</v>
      </c>
      <c r="B7" s="1" t="s">
        <v>99</v>
      </c>
      <c r="C7" s="1" t="s">
        <v>9</v>
      </c>
      <c r="D7" s="1">
        <v>668.33</v>
      </c>
    </row>
    <row r="8" spans="1:4" x14ac:dyDescent="0.3">
      <c r="A8" s="1" t="s">
        <v>11</v>
      </c>
      <c r="B8" s="1" t="s">
        <v>75</v>
      </c>
      <c r="C8" s="1" t="s">
        <v>9</v>
      </c>
      <c r="D8" s="1">
        <v>930.82</v>
      </c>
    </row>
    <row r="9" spans="1:4" x14ac:dyDescent="0.3">
      <c r="A9" s="1" t="s">
        <v>12</v>
      </c>
      <c r="B9" s="1" t="s">
        <v>76</v>
      </c>
      <c r="C9" s="1" t="s">
        <v>9</v>
      </c>
      <c r="D9" s="1">
        <v>881.24</v>
      </c>
    </row>
    <row r="10" spans="1:4" x14ac:dyDescent="0.3">
      <c r="A10" s="1" t="s">
        <v>87</v>
      </c>
      <c r="B10" s="1" t="s">
        <v>77</v>
      </c>
      <c r="C10" s="1" t="s">
        <v>9</v>
      </c>
      <c r="D10" s="1">
        <v>821.23</v>
      </c>
    </row>
    <row r="11" spans="1:4" x14ac:dyDescent="0.3">
      <c r="A11" s="1" t="s">
        <v>88</v>
      </c>
      <c r="B11" s="1" t="s">
        <v>78</v>
      </c>
      <c r="C11" s="1" t="s">
        <v>9</v>
      </c>
      <c r="D11" s="1">
        <v>930.82</v>
      </c>
    </row>
    <row r="12" spans="1:4" x14ac:dyDescent="0.3">
      <c r="A12" s="1" t="s">
        <v>89</v>
      </c>
      <c r="B12" s="1" t="s">
        <v>79</v>
      </c>
      <c r="C12" s="1" t="s">
        <v>9</v>
      </c>
      <c r="D12" s="1">
        <v>670.82</v>
      </c>
    </row>
    <row r="13" spans="1:4" x14ac:dyDescent="0.3">
      <c r="A13" s="1" t="s">
        <v>90</v>
      </c>
      <c r="B13" s="1" t="s">
        <v>100</v>
      </c>
      <c r="C13" s="1" t="s">
        <v>9</v>
      </c>
      <c r="D13" s="1">
        <v>919.11</v>
      </c>
    </row>
    <row r="14" spans="1:4" x14ac:dyDescent="0.3">
      <c r="A14" s="1" t="s">
        <v>91</v>
      </c>
      <c r="B14" s="1" t="s">
        <v>80</v>
      </c>
      <c r="C14" s="1" t="s">
        <v>9</v>
      </c>
      <c r="D14" s="1">
        <v>986.37</v>
      </c>
    </row>
    <row r="15" spans="1:4" x14ac:dyDescent="0.3">
      <c r="A15" s="1" t="s">
        <v>92</v>
      </c>
      <c r="B15" s="1" t="s">
        <v>81</v>
      </c>
      <c r="C15" s="1" t="s">
        <v>9</v>
      </c>
      <c r="D15" s="1">
        <v>1066.05</v>
      </c>
    </row>
    <row r="16" spans="1:4" x14ac:dyDescent="0.3">
      <c r="A16" s="1" t="s">
        <v>93</v>
      </c>
      <c r="B16" s="1" t="s">
        <v>82</v>
      </c>
      <c r="C16" s="1" t="s">
        <v>9</v>
      </c>
      <c r="D16" s="1">
        <v>1331.37</v>
      </c>
    </row>
    <row r="17" spans="1:4" x14ac:dyDescent="0.3">
      <c r="A17" s="1" t="s">
        <v>94</v>
      </c>
      <c r="B17" s="1" t="s">
        <v>8</v>
      </c>
      <c r="C17" s="1" t="s">
        <v>9</v>
      </c>
      <c r="D17" s="1">
        <v>638.33000000000004</v>
      </c>
    </row>
    <row r="18" spans="1:4" x14ac:dyDescent="0.3">
      <c r="A18" s="1" t="s">
        <v>95</v>
      </c>
      <c r="B18" s="1" t="s">
        <v>83</v>
      </c>
      <c r="C18" s="1" t="s">
        <v>9</v>
      </c>
      <c r="D18" s="1">
        <v>878.02</v>
      </c>
    </row>
    <row r="19" spans="1:4" x14ac:dyDescent="0.3">
      <c r="A19" s="1" t="s">
        <v>96</v>
      </c>
      <c r="B19" s="1" t="s">
        <v>84</v>
      </c>
      <c r="C19" s="1" t="s">
        <v>9</v>
      </c>
      <c r="D19" s="1">
        <v>914.67</v>
      </c>
    </row>
    <row r="20" spans="1:4" x14ac:dyDescent="0.3">
      <c r="A20" s="1" t="s">
        <v>97</v>
      </c>
      <c r="B20" s="1" t="s">
        <v>85</v>
      </c>
      <c r="C20" s="1" t="s">
        <v>9</v>
      </c>
      <c r="D20" s="1">
        <v>660.36</v>
      </c>
    </row>
    <row r="21" spans="1:4" x14ac:dyDescent="0.3">
      <c r="A21" s="1" t="s">
        <v>98</v>
      </c>
      <c r="B21" s="1" t="s">
        <v>86</v>
      </c>
      <c r="C21" s="1" t="s">
        <v>9</v>
      </c>
      <c r="D21" s="1">
        <v>848.79</v>
      </c>
    </row>
    <row r="22" spans="1:4" x14ac:dyDescent="0.3">
      <c r="A22" s="1" t="s">
        <v>101</v>
      </c>
      <c r="B22" s="1" t="s">
        <v>102</v>
      </c>
      <c r="C22" s="1" t="s">
        <v>9</v>
      </c>
      <c r="D22" s="1">
        <v>1093.26</v>
      </c>
    </row>
    <row r="26" spans="1:4" x14ac:dyDescent="0.3">
      <c r="A26" s="3" t="s">
        <v>18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PU</vt:lpstr>
      <vt:lpstr>MA</vt:lpstr>
      <vt:lpstr>MQ</vt:lpstr>
      <vt:lpstr>BA</vt:lpstr>
      <vt:lpstr>k</vt:lpstr>
      <vt:lpstr>MO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diego lara</cp:lastModifiedBy>
  <cp:lastPrinted>2024-08-13T20:07:58Z</cp:lastPrinted>
  <dcterms:created xsi:type="dcterms:W3CDTF">2024-08-08T20:21:30Z</dcterms:created>
  <dcterms:modified xsi:type="dcterms:W3CDTF">2024-10-11T23:30:26Z</dcterms:modified>
</cp:coreProperties>
</file>