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rqdi\OneDrive\Documentos\MAESTRIA VALUACION\INGENERIA DE COSTOS\"/>
    </mc:Choice>
  </mc:AlternateContent>
  <xr:revisionPtr revIDLastSave="0" documentId="13_ncr:1_{87913AAA-AE84-418B-BFBA-F86290FC9A0D}" xr6:coauthVersionLast="47" xr6:coauthVersionMax="47" xr10:uidLastSave="{00000000-0000-0000-0000-000000000000}"/>
  <bookViews>
    <workbookView xWindow="-108" yWindow="-108" windowWidth="23256" windowHeight="12456" activeTab="5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Q" sheetId="8" r:id="rId5"/>
    <sheet name="BA" sheetId="7" r:id="rId6"/>
    <sheet name="k" sheetId="4" r:id="rId7"/>
    <sheet name="MO" sheetId="3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1" i="1" l="1"/>
  <c r="G150" i="1"/>
  <c r="G147" i="1"/>
  <c r="G146" i="1"/>
  <c r="D151" i="1" a="1"/>
  <c r="H151" i="1" s="1"/>
  <c r="D20" i="2"/>
  <c r="D165" i="1"/>
  <c r="C165" i="1"/>
  <c r="G164" i="1"/>
  <c r="D164" i="1"/>
  <c r="C164" i="1"/>
  <c r="G163" i="1"/>
  <c r="D163" i="1"/>
  <c r="C163" i="1"/>
  <c r="D162" i="1"/>
  <c r="C162" i="1"/>
  <c r="G161" i="1"/>
  <c r="D161" i="1"/>
  <c r="C161" i="1"/>
  <c r="G160" i="1"/>
  <c r="D160" i="1"/>
  <c r="C160" i="1"/>
  <c r="D159" i="1"/>
  <c r="C159" i="1"/>
  <c r="G157" i="1"/>
  <c r="D157" i="1"/>
  <c r="C157" i="1"/>
  <c r="G156" i="1"/>
  <c r="D156" i="1"/>
  <c r="C156" i="1"/>
  <c r="G155" i="1"/>
  <c r="D155" i="1"/>
  <c r="C155" i="1"/>
  <c r="G154" i="1"/>
  <c r="D154" i="1"/>
  <c r="C154" i="1"/>
  <c r="G153" i="1"/>
  <c r="D153" i="1"/>
  <c r="C153" i="1"/>
  <c r="D150" i="1" a="1"/>
  <c r="D150" i="1" s="1"/>
  <c r="D146" i="1" a="1"/>
  <c r="D146" i="1" s="1"/>
  <c r="G127" i="1"/>
  <c r="G124" i="1"/>
  <c r="G123" i="1"/>
  <c r="D141" i="1"/>
  <c r="C141" i="1"/>
  <c r="G140" i="1"/>
  <c r="D140" i="1"/>
  <c r="C140" i="1"/>
  <c r="G139" i="1"/>
  <c r="D139" i="1"/>
  <c r="C139" i="1"/>
  <c r="D138" i="1"/>
  <c r="C138" i="1"/>
  <c r="G137" i="1"/>
  <c r="D137" i="1"/>
  <c r="C137" i="1"/>
  <c r="G136" i="1"/>
  <c r="D136" i="1"/>
  <c r="C136" i="1"/>
  <c r="D135" i="1"/>
  <c r="C135" i="1"/>
  <c r="G133" i="1"/>
  <c r="D133" i="1"/>
  <c r="C133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D127" i="1" a="1"/>
  <c r="D127" i="1" s="1"/>
  <c r="G100" i="1"/>
  <c r="G99" i="1"/>
  <c r="G98" i="1"/>
  <c r="G63" i="7"/>
  <c r="G62" i="7"/>
  <c r="D63" i="7" a="1"/>
  <c r="H63" i="7" s="1"/>
  <c r="D62" i="7" a="1"/>
  <c r="H62" i="7" s="1"/>
  <c r="G60" i="7"/>
  <c r="G57" i="7"/>
  <c r="D17" i="2"/>
  <c r="D59" i="7" a="1"/>
  <c r="H59" i="7" s="1"/>
  <c r="D53" i="7" a="1"/>
  <c r="H53" i="7" s="1"/>
  <c r="G49" i="7"/>
  <c r="D49" i="7"/>
  <c r="C49" i="7"/>
  <c r="G48" i="7"/>
  <c r="D48" i="7"/>
  <c r="C48" i="7"/>
  <c r="G47" i="7"/>
  <c r="D47" i="7"/>
  <c r="C47" i="7"/>
  <c r="D45" i="7" a="1"/>
  <c r="H45" i="7" s="1"/>
  <c r="F47" i="7" s="1"/>
  <c r="D43" i="7" a="1"/>
  <c r="D43" i="7" s="1"/>
  <c r="D42" i="7" a="1"/>
  <c r="H42" i="7" s="1"/>
  <c r="D41" i="7" a="1"/>
  <c r="D41" i="7" s="1"/>
  <c r="D40" i="7" a="1"/>
  <c r="H40" i="7" s="1"/>
  <c r="G19" i="7"/>
  <c r="C13" i="7"/>
  <c r="D7" i="7" a="1"/>
  <c r="D7" i="7" s="1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7" i="7"/>
  <c r="C67" i="7"/>
  <c r="D66" i="7"/>
  <c r="C66" i="7"/>
  <c r="D65" i="7"/>
  <c r="C65" i="7"/>
  <c r="D33" i="7"/>
  <c r="C33" i="7"/>
  <c r="D32" i="7"/>
  <c r="C32" i="7"/>
  <c r="D31" i="7"/>
  <c r="C31" i="7"/>
  <c r="D15" i="7"/>
  <c r="D14" i="7"/>
  <c r="D13" i="7"/>
  <c r="C15" i="7"/>
  <c r="C14" i="7"/>
  <c r="D12" i="1" a="1"/>
  <c r="D12" i="1" s="1"/>
  <c r="D8" i="1" a="1"/>
  <c r="D8" i="1" s="1"/>
  <c r="D9" i="1" a="1"/>
  <c r="D9" i="1" s="1"/>
  <c r="G67" i="7"/>
  <c r="G66" i="7"/>
  <c r="G65" i="7"/>
  <c r="G33" i="7"/>
  <c r="G32" i="7"/>
  <c r="G31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4" i="1"/>
  <c r="G113" i="1"/>
  <c r="D92" i="1"/>
  <c r="C92" i="1"/>
  <c r="G91" i="1"/>
  <c r="G90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7" i="7" a="1"/>
  <c r="D37" i="7" s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11" i="7" a="1"/>
  <c r="D11" i="7" s="1"/>
  <c r="D60" i="7" a="1"/>
  <c r="D60" i="7" s="1"/>
  <c r="D58" i="7" a="1"/>
  <c r="D58" i="7" s="1"/>
  <c r="D57" i="7" a="1"/>
  <c r="D57" i="7" s="1"/>
  <c r="D27" i="1"/>
  <c r="C27" i="1"/>
  <c r="G26" i="1"/>
  <c r="G25" i="1"/>
  <c r="G24" i="1"/>
  <c r="G23" i="1"/>
  <c r="G22" i="1"/>
  <c r="D151" i="1" l="1"/>
  <c r="H146" i="1"/>
  <c r="H150" i="1"/>
  <c r="G101" i="1"/>
  <c r="H101" i="1" s="1"/>
  <c r="H127" i="1"/>
  <c r="F129" i="1" s="1"/>
  <c r="F65" i="7"/>
  <c r="D63" i="7"/>
  <c r="D62" i="7"/>
  <c r="D59" i="7"/>
  <c r="D40" i="7"/>
  <c r="H43" i="7"/>
  <c r="F48" i="7"/>
  <c r="H47" i="7"/>
  <c r="H41" i="7"/>
  <c r="D45" i="7"/>
  <c r="D42" i="7"/>
  <c r="D53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37" i="1"/>
  <c r="F39" i="1" s="1"/>
  <c r="F40" i="1" s="1"/>
  <c r="F41" i="1" s="1"/>
  <c r="F42" i="1" s="1"/>
  <c r="H56" i="1"/>
  <c r="F58" i="1" s="1"/>
  <c r="F59" i="1" s="1"/>
  <c r="H74" i="1"/>
  <c r="H77" i="1"/>
  <c r="H103" i="1"/>
  <c r="H9" i="7"/>
  <c r="H104" i="1"/>
  <c r="H37" i="7"/>
  <c r="H78" i="1"/>
  <c r="H24" i="7"/>
  <c r="H26" i="7"/>
  <c r="H27" i="7"/>
  <c r="H7" i="7"/>
  <c r="H8" i="7"/>
  <c r="H57" i="7"/>
  <c r="H58" i="7"/>
  <c r="H60" i="7"/>
  <c r="H25" i="7"/>
  <c r="H29" i="7"/>
  <c r="F31" i="7" s="1"/>
  <c r="H19" i="7"/>
  <c r="H11" i="7"/>
  <c r="F13" i="7" s="1"/>
  <c r="H100" i="1"/>
  <c r="H99" i="1"/>
  <c r="H8" i="1"/>
  <c r="H9" i="1"/>
  <c r="H10" i="1"/>
  <c r="H12" i="1"/>
  <c r="H13" i="1"/>
  <c r="F153" i="1" l="1"/>
  <c r="H153" i="1" s="1"/>
  <c r="H129" i="1"/>
  <c r="F130" i="1"/>
  <c r="H48" i="7"/>
  <c r="F49" i="7"/>
  <c r="H49" i="7" s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9" i="1"/>
  <c r="H40" i="1"/>
  <c r="F32" i="7"/>
  <c r="H31" i="7"/>
  <c r="H58" i="1"/>
  <c r="F15" i="1"/>
  <c r="F16" i="1" s="1"/>
  <c r="H41" i="1"/>
  <c r="F14" i="7"/>
  <c r="H13" i="7"/>
  <c r="F106" i="1"/>
  <c r="F80" i="1"/>
  <c r="F60" i="1"/>
  <c r="H59" i="1"/>
  <c r="F43" i="1"/>
  <c r="H43" i="1" s="1"/>
  <c r="H42" i="1"/>
  <c r="F154" i="1" l="1"/>
  <c r="F155" i="1" s="1"/>
  <c r="F156" i="1" s="1"/>
  <c r="F131" i="1"/>
  <c r="H130" i="1"/>
  <c r="H39" i="7"/>
  <c r="D124" i="1" s="1" a="1"/>
  <c r="F46" i="1"/>
  <c r="H15" i="1"/>
  <c r="H32" i="7"/>
  <c r="F33" i="7"/>
  <c r="F61" i="1"/>
  <c r="H60" i="1"/>
  <c r="F81" i="1"/>
  <c r="H80" i="1"/>
  <c r="F107" i="1"/>
  <c r="H106" i="1"/>
  <c r="F15" i="7"/>
  <c r="H14" i="7"/>
  <c r="F17" i="1"/>
  <c r="H16" i="1"/>
  <c r="H154" i="1" l="1"/>
  <c r="H155" i="1"/>
  <c r="H156" i="1"/>
  <c r="F157" i="1"/>
  <c r="H157" i="1" s="1"/>
  <c r="D124" i="1"/>
  <c r="H124" i="1"/>
  <c r="F132" i="1"/>
  <c r="H131" i="1"/>
  <c r="H33" i="7"/>
  <c r="H15" i="7"/>
  <c r="H107" i="1"/>
  <c r="F108" i="1"/>
  <c r="F82" i="1"/>
  <c r="H81" i="1"/>
  <c r="F62" i="1"/>
  <c r="H62" i="1" s="1"/>
  <c r="H61" i="1"/>
  <c r="H17" i="1"/>
  <c r="F18" i="1"/>
  <c r="F133" i="1" l="1"/>
  <c r="H133" i="1" s="1"/>
  <c r="H132" i="1"/>
  <c r="F65" i="1"/>
  <c r="H65" i="1" s="1"/>
  <c r="F83" i="1"/>
  <c r="H82" i="1"/>
  <c r="F109" i="1"/>
  <c r="H108" i="1"/>
  <c r="H18" i="1"/>
  <c r="F19" i="1"/>
  <c r="H19" i="1" s="1"/>
  <c r="F66" i="1" l="1"/>
  <c r="H66" i="1" s="1"/>
  <c r="F67" i="1" s="1"/>
  <c r="H67" i="1" s="1"/>
  <c r="F68" i="1" s="1"/>
  <c r="F110" i="1"/>
  <c r="H110" i="1" s="1"/>
  <c r="H109" i="1"/>
  <c r="F84" i="1"/>
  <c r="H84" i="1" s="1"/>
  <c r="H83" i="1"/>
  <c r="F22" i="1"/>
  <c r="H6" i="7"/>
  <c r="D147" i="1" s="1" a="1"/>
  <c r="H23" i="7"/>
  <c r="D147" i="1" l="1"/>
  <c r="H147" i="1"/>
  <c r="F160" i="1" s="1"/>
  <c r="F87" i="1"/>
  <c r="H68" i="1"/>
  <c r="F69" i="1" s="1"/>
  <c r="H69" i="1" s="1"/>
  <c r="H70" i="1" s="1"/>
  <c r="D75" i="1" a="1"/>
  <c r="D75" i="1" s="1"/>
  <c r="F161" i="1" l="1"/>
  <c r="H160" i="1"/>
  <c r="H75" i="1"/>
  <c r="F23" i="1"/>
  <c r="H22" i="1"/>
  <c r="H161" i="1" l="1"/>
  <c r="F162" i="1" s="1"/>
  <c r="H162" i="1" s="1"/>
  <c r="F163" i="1" s="1"/>
  <c r="H163" i="1" s="1"/>
  <c r="F164" i="1" s="1"/>
  <c r="H164" i="1" s="1"/>
  <c r="H165" i="1" s="1"/>
  <c r="H144" i="1" s="1"/>
  <c r="F88" i="1"/>
  <c r="H88" i="1" s="1"/>
  <c r="H87" i="1"/>
  <c r="H23" i="1"/>
  <c r="F24" i="1" s="1"/>
  <c r="F89" i="1" l="1"/>
  <c r="H89" i="1" s="1"/>
  <c r="F90" i="1" s="1"/>
  <c r="H90" i="1" s="1"/>
  <c r="F91" i="1" s="1"/>
  <c r="H91" i="1" s="1"/>
  <c r="H92" i="1" s="1"/>
  <c r="H73" i="1" s="1"/>
  <c r="H54" i="1"/>
  <c r="H24" i="1"/>
  <c r="F25" i="1" s="1"/>
  <c r="H25" i="1" l="1"/>
  <c r="F26" i="1" l="1"/>
  <c r="H26" i="1" s="1"/>
  <c r="H27" i="1" s="1"/>
  <c r="H6" i="1" s="1"/>
  <c r="H46" i="1"/>
  <c r="F47" i="1"/>
  <c r="H47" i="1" l="1"/>
  <c r="F48" i="1" s="1"/>
  <c r="H48" i="1" l="1"/>
  <c r="F49" i="1" s="1"/>
  <c r="H49" i="1" s="1"/>
  <c r="F50" i="1" l="1"/>
  <c r="H50" i="1" s="1"/>
  <c r="H51" i="1" s="1"/>
  <c r="H35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D98" i="1" a="1"/>
  <c r="D98" i="1" s="1"/>
  <c r="H65" i="7"/>
  <c r="F66" i="7"/>
  <c r="H66" i="7" s="1"/>
  <c r="H98" i="1" l="1"/>
  <c r="F67" i="7"/>
  <c r="H67" i="7" l="1"/>
  <c r="H56" i="7" l="1"/>
  <c r="D97" i="1" l="1" a="1"/>
  <c r="D97" i="1" s="1"/>
  <c r="D123" i="1" a="1"/>
  <c r="H97" i="1" l="1"/>
  <c r="D123" i="1"/>
  <c r="H123" i="1"/>
  <c r="F136" i="1" s="1"/>
  <c r="F113" i="1" l="1"/>
  <c r="F114" i="1" s="1"/>
  <c r="H114" i="1" s="1"/>
  <c r="H136" i="1"/>
  <c r="F137" i="1"/>
  <c r="H113" i="1" l="1"/>
  <c r="F115" i="1" s="1"/>
  <c r="H115" i="1" s="1"/>
  <c r="H137" i="1"/>
  <c r="F138" i="1" s="1"/>
  <c r="H138" i="1" l="1"/>
  <c r="F139" i="1" s="1"/>
  <c r="H139" i="1" s="1"/>
  <c r="F140" i="1" s="1"/>
  <c r="H140" i="1" s="1"/>
  <c r="H141" i="1" s="1"/>
  <c r="H121" i="1" s="1"/>
  <c r="F116" i="1"/>
  <c r="H116" i="1" s="1"/>
  <c r="F117" i="1" s="1"/>
  <c r="H117" i="1" s="1"/>
  <c r="H118" i="1" l="1"/>
  <c r="H9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<sst xmlns="http://schemas.openxmlformats.org/spreadsheetml/2006/main" count="912" uniqueCount="564">
  <si>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</si>
  <si>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</si>
  <si>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</si>
  <si>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</si>
  <si>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</si>
  <si>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</si>
  <si>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</si>
  <si>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</si>
  <si>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</si>
  <si>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</si>
  <si>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</si>
  <si>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</si>
  <si>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</si>
  <si>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</si>
  <si>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</si>
  <si>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</si>
  <si>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</si>
  <si>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</si>
  <si>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</si>
  <si>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</si>
  <si>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</si>
  <si>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</si>
  <si>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</si>
  <si>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</si>
  <si>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</si>
  <si>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</si>
  <si>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</si>
  <si>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</si>
  <si>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</si>
  <si>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</si>
  <si>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</si>
  <si>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</si>
  <si>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</si>
  <si>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</si>
  <si>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</si>
  <si>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</si>
  <si>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</si>
  <si>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</si>
  <si>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</si>
  <si>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</si>
  <si>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</si>
  <si>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</si>
  <si>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</si>
  <si>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</si>
  <si>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</si>
  <si>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</si>
  <si>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</si>
  <si>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</si>
  <si>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</si>
  <si>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</si>
  <si>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</si>
  <si>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</si>
  <si>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</si>
  <si>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</si>
  <si>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</si>
  <si>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</si>
  <si>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</si>
  <si>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</si>
  <si>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</si>
  <si>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</si>
  <si>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</si>
  <si>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</si>
  <si>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</si>
  <si>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</si>
  <si>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</si>
  <si>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</si>
  <si>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</si>
  <si>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</si>
  <si>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</si>
  <si>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</si>
  <si>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</si>
  <si>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</si>
  <si>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</si>
  <si>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</si>
  <si>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</si>
  <si>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</si>
  <si>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</si>
  <si>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</si>
  <si>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</si>
  <si>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</si>
  <si>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</si>
  <si>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</si>
  <si>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</si>
  <si>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</si>
  <si>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</si>
  <si>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</si>
  <si>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</si>
  <si>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</si>
  <si>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</si>
  <si>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</si>
  <si>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</si>
  <si>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</si>
  <si>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</si>
  <si>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</si>
  <si>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</si>
  <si>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</si>
  <si>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</si>
  <si>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</si>
  <si>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</si>
  <si>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</si>
  <si>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</si>
  <si>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</si>
  <si>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</si>
  <si>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</si>
  <si>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</si>
  <si>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</si>
  <si>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</si>
  <si>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</si>
  <si>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</si>
  <si>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</si>
  <si>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</si>
  <si>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</si>
  <si>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</si>
  <si>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</si>
  <si>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</si>
  <si>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</si>
  <si>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</si>
  <si>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</si>
  <si>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</si>
  <si>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</si>
  <si>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</si>
  <si>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</si>
  <si>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</si>
  <si>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</si>
  <si>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</si>
  <si>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</si>
  <si>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</si>
  <si>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</si>
  <si>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</si>
  <si>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</si>
  <si>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</si>
  <si>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</si>
  <si>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</si>
  <si>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</si>
  <si>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</si>
  <si>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</si>
  <si>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</si>
  <si>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</si>
  <si>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</si>
  <si>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</si>
  <si>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</si>
  <si>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</si>
  <si>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</si>
  <si>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</si>
  <si>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</si>
  <si>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</si>
  <si>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</si>
  <si>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</si>
  <si>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</si>
  <si>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</si>
  <si>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</si>
  <si>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</si>
  <si>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</si>
  <si>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</si>
  <si>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</si>
  <si>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</si>
  <si>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</si>
  <si>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</si>
  <si>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</si>
  <si>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</si>
  <si>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</si>
  <si>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</si>
  <si>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</si>
  <si>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</si>
  <si>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</si>
  <si>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</si>
  <si>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</si>
  <si>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</si>
  <si>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</si>
  <si>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</si>
  <si>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</si>
  <si>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</si>
  <si>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</si>
  <si>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</si>
  <si>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</si>
  <si>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</si>
  <si>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</si>
  <si>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</si>
  <si>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</si>
  <si>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</si>
  <si>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</si>
  <si>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</si>
  <si>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</si>
  <si>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</si>
  <si>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</si>
  <si>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</si>
  <si>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</si>
  <si>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</si>
  <si>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</si>
  <si>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</si>
  <si>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</si>
  <si>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</si>
  <si>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</si>
  <si>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</si>
  <si>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</si>
  <si>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</si>
  <si>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</si>
  <si>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</si>
  <si>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</si>
  <si>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</si>
  <si>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</si>
  <si>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</si>
  <si>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</si>
  <si>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</si>
  <si>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</si>
  <si>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</si>
  <si>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</si>
  <si>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</si>
  <si>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</si>
  <si>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</si>
  <si>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</si>
  <si>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</si>
  <si>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</si>
  <si>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</si>
  <si>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</si>
  <si>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</si>
  <si>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</si>
  <si>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</si>
  <si>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</si>
  <si>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</si>
  <si>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</si>
  <si>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</si>
  <si>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</si>
  <si>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</si>
  <si>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</si>
  <si>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</si>
  <si>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</si>
  <si>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</si>
  <si>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</si>
  <si>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</si>
  <si>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</si>
  <si>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</si>
  <si>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</si>
  <si>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</si>
  <si>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</si>
  <si>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</si>
  <si>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</si>
  <si>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</si>
  <si>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</si>
  <si>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</si>
  <si>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</si>
  <si>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</si>
  <si>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</si>
  <si>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</si>
  <si>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</si>
  <si>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</si>
  <si>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</si>
  <si>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</si>
  <si>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</si>
  <si>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</si>
  <si>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</si>
  <si>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</si>
  <si>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</si>
  <si>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</si>
  <si>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</si>
  <si>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</si>
  <si>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</si>
  <si>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</si>
  <si>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</si>
  <si>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</si>
  <si>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</si>
  <si>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</si>
  <si>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</si>
  <si>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</si>
  <si>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</si>
  <si>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</si>
  <si>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</si>
  <si>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</si>
  <si>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</si>
  <si>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</si>
  <si>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</si>
  <si>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</si>
  <si>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</si>
  <si>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</si>
  <si>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</si>
  <si>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</si>
  <si>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</si>
  <si>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</si>
  <si>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</si>
  <si>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</si>
  <si>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</si>
  <si>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</si>
  <si>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</si>
  <si>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</si>
  <si>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</si>
  <si>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</si>
  <si>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</si>
  <si>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</si>
  <si>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</si>
  <si>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</si>
  <si>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</si>
  <si>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</si>
  <si>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</si>
  <si>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</si>
  <si>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</si>
  <si>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</si>
  <si>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</si>
  <si>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</si>
  <si>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</si>
  <si>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</si>
  <si>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</si>
  <si>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</si>
  <si>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</si>
  <si>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</si>
  <si>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</si>
  <si>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</si>
  <si>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</si>
  <si>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</si>
  <si>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</si>
  <si>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</si>
  <si>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</si>
  <si>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</si>
  <si>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</si>
  <si>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</si>
  <si>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</si>
  <si>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</si>
  <si>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</si>
  <si>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</si>
  <si>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</si>
  <si>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</si>
  <si>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</si>
  <si>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</si>
  <si>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</si>
  <si>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</si>
  <si>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</si>
  <si>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</si>
  <si>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</si>
  <si>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</si>
  <si>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</si>
  <si>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</si>
  <si>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</si>
  <si>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</si>
  <si>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</si>
  <si>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</si>
  <si>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</si>
  <si>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</si>
  <si>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</si>
  <si>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</si>
  <si>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</si>
  <si>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</si>
  <si>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</si>
  <si>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</si>
  <si>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</si>
  <si>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</si>
  <si>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</si>
  <si>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</si>
  <si>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</si>
  <si>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</si>
  <si>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</si>
  <si>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</si>
  <si>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</si>
  <si>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</si>
  <si>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</si>
  <si>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</si>
  <si>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</si>
  <si>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</si>
  <si>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</si>
  <si>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</si>
  <si>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</si>
  <si>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</si>
  <si>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</si>
  <si>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</si>
  <si>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</si>
  <si>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</si>
  <si>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</si>
  <si>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</si>
  <si>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</si>
  <si>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</si>
  <si>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</si>
  <si>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</si>
  <si>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</si>
  <si>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</si>
  <si>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</si>
  <si>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</si>
  <si>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</si>
  <si>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</si>
  <si>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</si>
  <si>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</si>
  <si>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</si>
  <si>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</si>
  <si>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</si>
  <si>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</si>
  <si>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</si>
  <si>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</si>
  <si>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</si>
  <si>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</si>
  <si>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</si>
  <si>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</si>
  <si>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</si>
  <si>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</si>
  <si>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</si>
  <si>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</si>
  <si>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</si>
  <si>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</si>
  <si>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</si>
  <si>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</si>
  <si>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</si>
  <si>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</si>
  <si>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</si>
  <si>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</si>
  <si>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</si>
  <si>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</si>
  <si>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</si>
  <si>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</si>
  <si>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</si>
  <si>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</si>
  <si>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</si>
  <si>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</si>
  <si>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</si>
  <si>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</si>
  <si>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</si>
  <si>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</si>
  <si>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</si>
  <si>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</si>
  <si>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</si>
  <si>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</si>
  <si>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</si>
  <si>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</si>
  <si>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</si>
  <si>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</si>
  <si>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</si>
  <si>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</si>
  <si>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</si>
  <si>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</si>
  <si>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</si>
  <si>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</si>
  <si>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</si>
  <si>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</si>
  <si>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</si>
  <si>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</si>
  <si>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</si>
  <si>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</si>
  <si>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</si>
  <si>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</si>
  <si>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</si>
  <si>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</si>
  <si>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</si>
  <si>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</si>
  <si>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</si>
  <si>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</si>
  <si>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</si>
  <si>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</si>
  <si>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</si>
  <si>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</si>
  <si>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</si>
  <si>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</si>
  <si>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</si>
  <si>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</si>
  <si>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</si>
  <si>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</si>
  <si>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</si>
  <si>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</si>
  <si>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</si>
  <si>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</si>
  <si>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</si>
  <si>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</si>
  <si>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</si>
  <si>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</si>
  <si>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</si>
  <si>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</si>
  <si>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</si>
  <si>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</si>
  <si>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</si>
  <si>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</si>
  <si>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</si>
  <si>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</si>
  <si>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</si>
  <si>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</si>
  <si>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</si>
  <si>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</si>
  <si>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</si>
  <si>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</si>
  <si>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</si>
  <si>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</si>
  <si>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</si>
  <si>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</si>
  <si>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</si>
  <si>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</si>
  <si>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</si>
  <si>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</si>
  <si>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</si>
  <si>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</si>
  <si>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</si>
  <si>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</si>
  <si>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</si>
  <si>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</si>
  <si>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</si>
  <si>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</si>
  <si>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</si>
  <si>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</si>
  <si>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</si>
  <si>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</si>
  <si>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</si>
  <si>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</si>
  <si>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</si>
  <si>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</si>
  <si>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</si>
  <si>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</si>
  <si>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</si>
  <si>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</si>
  <si>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</si>
  <si>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</si>
  <si>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</si>
  <si>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</si>
  <si>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</si>
  <si>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</si>
  <si>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</si>
  <si>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</si>
  <si>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</si>
  <si>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</si>
  <si>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</si>
  <si>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</si>
  <si>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</si>
  <si>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</si>
  <si>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</si>
  <si>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</si>
  <si>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</si>
  <si>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</si>
  <si>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</si>
  <si>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</si>
  <si>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</si>
  <si>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</si>
  <si>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</si>
  <si>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</si>
  <si>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</si>
  <si>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</si>
  <si>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</si>
  <si>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</si>
  <si>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</si>
  <si>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</si>
  <si>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</si>
  <si>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</si>
  <si>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</si>
  <si>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</si>
  <si>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</si>
  <si>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</si>
  <si>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</si>
  <si>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</si>
  <si>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</si>
  <si>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</si>
  <si>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</si>
  <si>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</si>
  <si>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</si>
  <si>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</si>
  <si>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</si>
  <si>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SUPUESTO 8 PEONES PARA 8M3 POR DIA </t>
  </si>
  <si>
    <t>CONCRETO F'c= 150 Kg/cm2 TMA 3/4" HECHO EN OBRA</t>
  </si>
  <si>
    <t xml:space="preserve">ACTUALIZAR CON LA TABLA DE SALARIOS REALES </t>
  </si>
  <si>
    <t>BA004</t>
  </si>
  <si>
    <t>DESM</t>
  </si>
  <si>
    <t>DESMOLDANTE</t>
  </si>
  <si>
    <t>m</t>
  </si>
  <si>
    <t>ALAMBRON</t>
  </si>
  <si>
    <t>ALAMBRON1/4</t>
  </si>
  <si>
    <t>kg</t>
  </si>
  <si>
    <t>ALAMBRE CALCULO SUMA DE ALAMBRON Y VARILLA POR .03</t>
  </si>
  <si>
    <t>EMULSION</t>
  </si>
  <si>
    <t>lt</t>
  </si>
  <si>
    <t>VAPOTTIE</t>
  </si>
  <si>
    <t xml:space="preserve">IMPERMIABILIZACION DE CADENAS DE DESPLANTE DE 15 cm DE ANCHO A BASE DE EMULSION ASFALTICA Y RIEGO DE ARENA </t>
  </si>
  <si>
    <t>TABIQUE RR 7-14-28</t>
  </si>
  <si>
    <t>millar</t>
  </si>
  <si>
    <t>TABIQUE</t>
  </si>
  <si>
    <t>MURO DE 15 cm DE ESPESOR DE TABIQUE ROJO RECOCIDO 7-14-28 ASENTADO CON MORTERO CEMENTO-ARENA EN PROPORCION 1:5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</si>
</sst>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165" fontId="0" fillId="0" borderId="0" xfId="0" applyNumberFormat="1"/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topLeftCell="A3" workbookViewId="0">
      <selection activeCell="B13" sqref="B13"/>
    </sheetView>
  </sheetViews>
  <sheetFormatPr baseColWidth="10" defaultColWidth="11.5546875" defaultRowHeight="14.4" x14ac:dyDescent="0.3"/>
  <cols>
    <col min="1" max="1" width="15.77734375" style="1" customWidth="1"/>
    <col min="2" max="2" width="72.33203125" style="1" customWidth="1"/>
    <col min="3" max="16384" width="11.5546875" style="1"/>
  </cols>
  <sheetData>
    <row r="1" spans="1:5" x14ac:dyDescent="0.3">
      <c r="C1" s="9"/>
      <c r="D1" s="9"/>
    </row>
    <row r="2" spans="1:5" x14ac:dyDescent="0.3">
      <c r="C2" s="46" t="s">
        <v>498</v>
      </c>
      <c r="D2" s="9"/>
    </row>
    <row r="3" spans="1:5" x14ac:dyDescent="0.3">
      <c r="C3" s="9" t="s">
        <v>504</v>
      </c>
      <c r="D3" s="9">
        <v>208.9</v>
      </c>
      <c r="E3" s="1" t="s">
        <v>50</v>
      </c>
    </row>
    <row r="4" spans="1:5" x14ac:dyDescent="0.3">
      <c r="C4" s="9"/>
      <c r="D4" s="9"/>
    </row>
    <row r="5" spans="1:5" s="8" customFormat="1" ht="28.2" customHeight="1" thickBot="1" x14ac:dyDescent="0.35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 x14ac:dyDescent="0.3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3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3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3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3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3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3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3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3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3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3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3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3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3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3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3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3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3">
      <c r="E24" s="5"/>
    </row>
    <row r="25" spans="1:5" s="6" customFormat="1" x14ac:dyDescent="0.3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workbookViewId="0">
      <selection activeCell="B13" sqref="B13"/>
    </sheetView>
  </sheetViews>
  <sheetFormatPr baseColWidth="10" defaultColWidth="11.5546875" defaultRowHeight="14.4" x14ac:dyDescent="0.3"/>
  <cols>
    <col min="1" max="1" width="11.5546875" style="1"/>
    <col min="2" max="2" width="46.6640625" style="1" customWidth="1"/>
    <col min="3" max="3" width="11.5546875" style="1"/>
    <col min="4" max="4" width="11.5546875" style="40"/>
    <col min="5" max="5" width="15.5546875" style="1" customWidth="1"/>
    <col min="6" max="6" width="16.21875" style="1" customWidth="1"/>
    <col min="7" max="16384" width="11.5546875" style="1"/>
  </cols>
  <sheetData>
    <row r="1" spans="1:6" x14ac:dyDescent="0.3">
      <c r="C1" s="9"/>
    </row>
    <row r="2" spans="1:6" x14ac:dyDescent="0.3">
      <c r="C2" s="9" t="s">
        <v>225</v>
      </c>
    </row>
    <row r="3" spans="1:6" x14ac:dyDescent="0.3">
      <c r="C3" s="9"/>
    </row>
    <row r="4" spans="1:6" x14ac:dyDescent="0.3">
      <c r="C4" s="9"/>
    </row>
    <row r="5" spans="1:6" s="8" customFormat="1" ht="28.2" customHeight="1" thickBot="1" x14ac:dyDescent="0.35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x14ac:dyDescent="0.3">
      <c r="B7" s="6" t="s">
        <v>95</v>
      </c>
    </row>
    <row r="8" spans="1:6" ht="43.2" x14ac:dyDescent="0.3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3.2" x14ac:dyDescent="0.3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.6" x14ac:dyDescent="0.3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6.4" x14ac:dyDescent="0.3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.6" x14ac:dyDescent="0.3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3">
      <c r="B13" s="39" t="s">
        <v>109</v>
      </c>
      <c r="C13" s="38"/>
      <c r="D13" s="42"/>
      <c r="F13" s="43">
        <f>SUM(F8:F12)</f>
        <v>473700.94</v>
      </c>
    </row>
    <row r="14" spans="1:6" x14ac:dyDescent="0.3">
      <c r="B14" s="39" t="s">
        <v>110</v>
      </c>
      <c r="C14" s="38"/>
      <c r="D14" s="42"/>
      <c r="F14" s="10"/>
    </row>
    <row r="15" spans="1:6" ht="72" x14ac:dyDescent="0.3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.6" x14ac:dyDescent="0.3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00.8" x14ac:dyDescent="0.3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15.2" x14ac:dyDescent="0.3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00.8" x14ac:dyDescent="0.3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.6" x14ac:dyDescent="0.3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00.8" x14ac:dyDescent="0.3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86.4" x14ac:dyDescent="0.3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86.4" x14ac:dyDescent="0.3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86.4" x14ac:dyDescent="0.3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86.4" x14ac:dyDescent="0.3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6.4" x14ac:dyDescent="0.3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6.4" x14ac:dyDescent="0.3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3">
      <c r="B28" s="39" t="s">
        <v>138</v>
      </c>
      <c r="C28" s="38"/>
      <c r="D28" s="42"/>
      <c r="F28" s="43">
        <f>SUM(F15:F27)</f>
        <v>198852.83</v>
      </c>
    </row>
    <row r="29" spans="1:6" x14ac:dyDescent="0.3">
      <c r="B29" s="39" t="s">
        <v>139</v>
      </c>
      <c r="C29" s="38"/>
      <c r="D29" s="42"/>
      <c r="F29" s="10"/>
    </row>
    <row r="30" spans="1:6" ht="43.2" x14ac:dyDescent="0.3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.6" x14ac:dyDescent="0.3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3.2" x14ac:dyDescent="0.3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2" x14ac:dyDescent="0.3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2" x14ac:dyDescent="0.3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2" x14ac:dyDescent="0.3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2" x14ac:dyDescent="0.3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2" x14ac:dyDescent="0.3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2" x14ac:dyDescent="0.3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2" x14ac:dyDescent="0.3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86.4" x14ac:dyDescent="0.3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86.4" x14ac:dyDescent="0.3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86.4" x14ac:dyDescent="0.3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86.4" x14ac:dyDescent="0.3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72" x14ac:dyDescent="0.3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2" x14ac:dyDescent="0.3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x14ac:dyDescent="0.3">
      <c r="B46" s="39" t="s">
        <v>173</v>
      </c>
      <c r="C46" s="39"/>
      <c r="D46" s="44"/>
      <c r="E46" s="6"/>
      <c r="F46" s="43">
        <f>SUM(F30:F45)</f>
        <v>121685.02</v>
      </c>
    </row>
    <row r="47" spans="1:6" ht="28.8" x14ac:dyDescent="0.3">
      <c r="B47" s="39" t="s">
        <v>174</v>
      </c>
      <c r="C47" s="39"/>
      <c r="D47" s="44"/>
      <c r="E47" s="6"/>
      <c r="F47" s="43"/>
    </row>
    <row r="48" spans="1:6" ht="57.6" x14ac:dyDescent="0.3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2" x14ac:dyDescent="0.3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.6" x14ac:dyDescent="0.3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2" x14ac:dyDescent="0.3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6.4" x14ac:dyDescent="0.3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.6" x14ac:dyDescent="0.3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6.4" x14ac:dyDescent="0.3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6.4" x14ac:dyDescent="0.3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6.4" x14ac:dyDescent="0.3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6.4" x14ac:dyDescent="0.3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.6" x14ac:dyDescent="0.3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00.8" x14ac:dyDescent="0.3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00.8" x14ac:dyDescent="0.3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86.4" x14ac:dyDescent="0.3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0.8" x14ac:dyDescent="0.3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100.8" x14ac:dyDescent="0.3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100.8" x14ac:dyDescent="0.3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100.8" x14ac:dyDescent="0.3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100.8" x14ac:dyDescent="0.3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2" x14ac:dyDescent="0.3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2" x14ac:dyDescent="0.3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.6" x14ac:dyDescent="0.3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57.6" x14ac:dyDescent="0.3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.6" x14ac:dyDescent="0.3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8.8" x14ac:dyDescent="0.3">
      <c r="B72" s="39" t="s">
        <v>224</v>
      </c>
      <c r="F72" s="6">
        <f>SUM(F48:F71)</f>
        <v>678831.77</v>
      </c>
    </row>
    <row r="73" spans="1:6" ht="28.8" x14ac:dyDescent="0.3">
      <c r="B73" s="39" t="s">
        <v>226</v>
      </c>
      <c r="C73" s="38"/>
      <c r="D73" s="42"/>
      <c r="E73" s="38"/>
    </row>
    <row r="74" spans="1:6" ht="72" x14ac:dyDescent="0.3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0.8" x14ac:dyDescent="0.3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.6" x14ac:dyDescent="0.3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86.4" x14ac:dyDescent="0.3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86.4" x14ac:dyDescent="0.3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6.4" x14ac:dyDescent="0.3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6.4" x14ac:dyDescent="0.3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00.8" x14ac:dyDescent="0.3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72" x14ac:dyDescent="0.3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100.8" x14ac:dyDescent="0.3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100.8" x14ac:dyDescent="0.3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100.8" x14ac:dyDescent="0.3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2" x14ac:dyDescent="0.3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57.6" x14ac:dyDescent="0.3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2" x14ac:dyDescent="0.3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.6" x14ac:dyDescent="0.3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.6" x14ac:dyDescent="0.3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8.8" x14ac:dyDescent="0.3">
      <c r="B91" s="39" t="s">
        <v>502</v>
      </c>
      <c r="C91" s="39"/>
      <c r="D91" s="44"/>
      <c r="E91" s="39"/>
      <c r="F91" s="43">
        <f>SUM(F74:F90)</f>
        <v>393479.11</v>
      </c>
    </row>
    <row r="92" spans="1:6" x14ac:dyDescent="0.3">
      <c r="B92" s="39" t="s">
        <v>256</v>
      </c>
      <c r="C92" s="39"/>
      <c r="D92" s="44"/>
      <c r="E92" s="39"/>
      <c r="F92" s="10"/>
    </row>
    <row r="93" spans="1:6" ht="86.4" x14ac:dyDescent="0.3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6.4" x14ac:dyDescent="0.3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2" x14ac:dyDescent="0.3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57.6" x14ac:dyDescent="0.3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.6" x14ac:dyDescent="0.3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.6" x14ac:dyDescent="0.3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2" x14ac:dyDescent="0.3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.6" x14ac:dyDescent="0.3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100.8" x14ac:dyDescent="0.3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8.8" x14ac:dyDescent="0.3">
      <c r="B102" s="39" t="s">
        <v>274</v>
      </c>
      <c r="C102" s="39"/>
      <c r="D102" s="44"/>
      <c r="E102" s="39"/>
      <c r="F102" s="43">
        <f>SUM(F93:F101)</f>
        <v>112973.2</v>
      </c>
    </row>
    <row r="103" spans="1:6" x14ac:dyDescent="0.3">
      <c r="B103" s="39" t="s">
        <v>275</v>
      </c>
      <c r="C103" s="39"/>
      <c r="D103" s="44"/>
      <c r="E103" s="39"/>
      <c r="F103" s="10"/>
    </row>
    <row r="104" spans="1:6" ht="43.2" x14ac:dyDescent="0.3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43.2" x14ac:dyDescent="0.3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72" x14ac:dyDescent="0.3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72" x14ac:dyDescent="0.3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2" x14ac:dyDescent="0.3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.6" x14ac:dyDescent="0.3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.6" x14ac:dyDescent="0.3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.6" x14ac:dyDescent="0.3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2" x14ac:dyDescent="0.3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2" x14ac:dyDescent="0.3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8.8" x14ac:dyDescent="0.3">
      <c r="B114" s="39" t="s">
        <v>297</v>
      </c>
      <c r="C114" s="39"/>
      <c r="D114" s="44"/>
      <c r="E114" s="39"/>
      <c r="F114" s="43">
        <f>SUM(F104:F113)</f>
        <v>37069.01</v>
      </c>
    </row>
    <row r="115" spans="1:6" x14ac:dyDescent="0.3">
      <c r="B115" s="39" t="s">
        <v>298</v>
      </c>
      <c r="C115" s="39"/>
      <c r="D115" s="44"/>
      <c r="E115" s="39"/>
      <c r="F115" s="10"/>
    </row>
    <row r="116" spans="1:6" ht="86.4" x14ac:dyDescent="0.3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00.8" x14ac:dyDescent="0.3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86.4" x14ac:dyDescent="0.3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86.4" x14ac:dyDescent="0.3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86.4" x14ac:dyDescent="0.3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86.4" x14ac:dyDescent="0.3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2" x14ac:dyDescent="0.3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6.4" x14ac:dyDescent="0.3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2" x14ac:dyDescent="0.3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2" x14ac:dyDescent="0.3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72" x14ac:dyDescent="0.3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2" x14ac:dyDescent="0.3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6.4" x14ac:dyDescent="0.3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72" x14ac:dyDescent="0.3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72" x14ac:dyDescent="0.3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.6" x14ac:dyDescent="0.3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x14ac:dyDescent="0.3">
      <c r="B132" s="39" t="s">
        <v>331</v>
      </c>
      <c r="C132" s="39"/>
      <c r="D132" s="44"/>
      <c r="E132" s="39"/>
      <c r="F132" s="43">
        <f>SUM(F116:F131)</f>
        <v>40735.07</v>
      </c>
    </row>
    <row r="133" spans="1:6" x14ac:dyDescent="0.3">
      <c r="B133" s="39" t="s">
        <v>332</v>
      </c>
      <c r="C133" s="39"/>
      <c r="D133" s="44"/>
      <c r="E133" s="39"/>
      <c r="F133" s="10"/>
    </row>
    <row r="134" spans="1:6" ht="86.4" x14ac:dyDescent="0.3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7.6" x14ac:dyDescent="0.3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2" x14ac:dyDescent="0.3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2" x14ac:dyDescent="0.3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3">
      <c r="B138" s="39" t="s">
        <v>341</v>
      </c>
      <c r="C138" s="39"/>
      <c r="D138" s="44"/>
      <c r="E138" s="39"/>
      <c r="F138" s="43">
        <f>SUM(F134:F137)</f>
        <v>33315.53</v>
      </c>
    </row>
    <row r="139" spans="1:6" x14ac:dyDescent="0.3">
      <c r="B139" s="39" t="s">
        <v>342</v>
      </c>
      <c r="C139" s="39"/>
      <c r="D139" s="44"/>
      <c r="E139" s="39"/>
      <c r="F139" s="10"/>
    </row>
    <row r="140" spans="1:6" ht="72" x14ac:dyDescent="0.3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2" x14ac:dyDescent="0.3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2" x14ac:dyDescent="0.3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6.4" x14ac:dyDescent="0.3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2" x14ac:dyDescent="0.3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.6" x14ac:dyDescent="0.3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.6" x14ac:dyDescent="0.3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7.6" x14ac:dyDescent="0.3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.6" x14ac:dyDescent="0.3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3.2" x14ac:dyDescent="0.3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3.2" x14ac:dyDescent="0.3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3.2" x14ac:dyDescent="0.3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2" x14ac:dyDescent="0.3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3">
      <c r="B153" s="39" t="s">
        <v>369</v>
      </c>
      <c r="C153" s="39"/>
      <c r="D153" s="44"/>
      <c r="E153" s="39"/>
      <c r="F153" s="43">
        <f>SUM(F140:F152)</f>
        <v>232732.62</v>
      </c>
    </row>
    <row r="154" spans="1:6" x14ac:dyDescent="0.3">
      <c r="B154" s="6" t="s">
        <v>370</v>
      </c>
    </row>
    <row r="155" spans="1:6" s="38" customFormat="1" ht="57.6" x14ac:dyDescent="0.3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.6" x14ac:dyDescent="0.3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2" x14ac:dyDescent="0.3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2" x14ac:dyDescent="0.3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00.8" x14ac:dyDescent="0.3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.6" x14ac:dyDescent="0.3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72" x14ac:dyDescent="0.3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3">
      <c r="B162" s="39" t="s">
        <v>385</v>
      </c>
      <c r="D162" s="42"/>
      <c r="F162" s="39">
        <f>SUM(F155:F161)</f>
        <v>14256.34</v>
      </c>
    </row>
    <row r="163" spans="1:6" s="38" customFormat="1" x14ac:dyDescent="0.3">
      <c r="B163" s="39" t="s">
        <v>386</v>
      </c>
      <c r="D163" s="42"/>
    </row>
    <row r="164" spans="1:6" s="38" customFormat="1" ht="57.6" x14ac:dyDescent="0.3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3.2" x14ac:dyDescent="0.3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3.2" x14ac:dyDescent="0.3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3.2" x14ac:dyDescent="0.3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.6" x14ac:dyDescent="0.3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3">
      <c r="B169" s="39" t="s">
        <v>397</v>
      </c>
      <c r="D169" s="42"/>
      <c r="F169" s="39">
        <f>SUM(F164:F168)</f>
        <v>62192.77</v>
      </c>
    </row>
    <row r="170" spans="1:6" x14ac:dyDescent="0.3">
      <c r="B170" s="6" t="s">
        <v>398</v>
      </c>
    </row>
    <row r="171" spans="1:6" s="38" customFormat="1" ht="72" x14ac:dyDescent="0.3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2" x14ac:dyDescent="0.3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00.8" x14ac:dyDescent="0.3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0.8" x14ac:dyDescent="0.3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.6" x14ac:dyDescent="0.3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7.6" x14ac:dyDescent="0.3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.6" x14ac:dyDescent="0.3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3.2" x14ac:dyDescent="0.3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3.2" x14ac:dyDescent="0.3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3.2" x14ac:dyDescent="0.3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3.2" x14ac:dyDescent="0.3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.6" x14ac:dyDescent="0.3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.6" x14ac:dyDescent="0.3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2" x14ac:dyDescent="0.3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.6" x14ac:dyDescent="0.3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.6" x14ac:dyDescent="0.3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3">
      <c r="B187" s="6" t="s">
        <v>419</v>
      </c>
      <c r="F187" s="39">
        <f>SUM(F171:F186)</f>
        <v>65092.9</v>
      </c>
    </row>
    <row r="188" spans="1:6" x14ac:dyDescent="0.3">
      <c r="B188" s="6" t="s">
        <v>420</v>
      </c>
    </row>
    <row r="189" spans="1:6" s="38" customFormat="1" ht="72" x14ac:dyDescent="0.3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2" x14ac:dyDescent="0.3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2" x14ac:dyDescent="0.3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2" x14ac:dyDescent="0.3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2" x14ac:dyDescent="0.3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6.4" x14ac:dyDescent="0.3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2" x14ac:dyDescent="0.3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6.4" x14ac:dyDescent="0.3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2" x14ac:dyDescent="0.3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2" x14ac:dyDescent="0.3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2" x14ac:dyDescent="0.3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2" x14ac:dyDescent="0.3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3.2" x14ac:dyDescent="0.3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x14ac:dyDescent="0.3">
      <c r="B202" s="6" t="s">
        <v>447</v>
      </c>
      <c r="F202" s="6">
        <f>SUM(F189:F201)</f>
        <v>232807.83</v>
      </c>
    </row>
    <row r="203" spans="1:6" x14ac:dyDescent="0.3">
      <c r="B203" s="6" t="s">
        <v>448</v>
      </c>
    </row>
    <row r="204" spans="1:6" ht="57.6" x14ac:dyDescent="0.3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2" x14ac:dyDescent="0.3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7.6" x14ac:dyDescent="0.3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7.6" x14ac:dyDescent="0.3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7.6" x14ac:dyDescent="0.3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2" x14ac:dyDescent="0.3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7.6" x14ac:dyDescent="0.3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7.6" x14ac:dyDescent="0.3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.6" x14ac:dyDescent="0.3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7.6" x14ac:dyDescent="0.3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7.6" x14ac:dyDescent="0.3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7.6" x14ac:dyDescent="0.3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7.6" x14ac:dyDescent="0.3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7.6" x14ac:dyDescent="0.3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2" x14ac:dyDescent="0.3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57.6" x14ac:dyDescent="0.3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57.6" x14ac:dyDescent="0.3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2" x14ac:dyDescent="0.3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3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x14ac:dyDescent="0.3">
      <c r="A223" s="38"/>
      <c r="B223" s="39" t="s">
        <v>486</v>
      </c>
      <c r="C223" s="38"/>
      <c r="D223" s="42"/>
      <c r="E223" s="38"/>
      <c r="F223" s="38"/>
    </row>
    <row r="224" spans="1:6" ht="86.4" x14ac:dyDescent="0.3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7.6" x14ac:dyDescent="0.3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x14ac:dyDescent="0.3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x14ac:dyDescent="0.3">
      <c r="A227" s="38"/>
      <c r="B227" s="39" t="s">
        <v>492</v>
      </c>
      <c r="C227" s="38"/>
      <c r="D227" s="42"/>
      <c r="E227" s="38"/>
      <c r="F227" s="38"/>
    </row>
    <row r="228" spans="1:6" ht="43.2" x14ac:dyDescent="0.3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3.2" x14ac:dyDescent="0.3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x14ac:dyDescent="0.3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x14ac:dyDescent="0.3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I165"/>
  <sheetViews>
    <sheetView zoomScale="82" workbookViewId="0">
      <pane xSplit="8" ySplit="5" topLeftCell="I136" activePane="bottomRight" state="frozen"/>
      <selection activeCell="B13" sqref="B13"/>
      <selection pane="topRight" activeCell="B13" sqref="B13"/>
      <selection pane="bottomLeft" activeCell="B13" sqref="B13"/>
      <selection pane="bottomRight" activeCell="J140" sqref="J140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90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 x14ac:dyDescent="0.3">
      <c r="A6" s="10" t="s">
        <v>96</v>
      </c>
      <c r="B6" s="51" t="str">
        <f>VLOOKUP(A6,PRE!$A$8:$F$232,2,0)</f>
        <v>LIMPIEZA DE TERRENO POR MEDIOS MANUALES. INCLUYE CHAPEO DE MALEZA HASTA 0.90 7M DE ALTURA, MANO DE OBRA, EQUIPO Y HERRAMIENTA.</v>
      </c>
      <c r="C6" s="51"/>
      <c r="D6" s="51"/>
      <c r="E6" s="48" t="s">
        <v>50</v>
      </c>
      <c r="H6" s="14">
        <f>H27</f>
        <v>418.07</v>
      </c>
    </row>
    <row r="8" spans="1:8" x14ac:dyDescent="0.3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IFERROR(VLOOKUP(C8,BA!$A$6:$H$191,{2,5,8},0),{"No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3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IFERROR(VLOOKUP(C9,MA!$A$6:$D$26,{2,3,4},0),IFERROR(VLOOKUP(C9,MO!$A$6:$D$26,{2,3,4},0),IFERROR(VLOOKUP(C9,MQ!$A$6:$D$26,{2,3,4},0),IFERROR(VLOOKUP(C9,BA!$A$6:$H$191,{2,5,8},0),{"No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3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IFERROR(VLOOKUP(C10,MA!$A$6:$D$26,{2,3,4},0),IFERROR(VLOOKUP(C10,MO!$A$6:$D$26,{2,3,4},0),IFERROR(VLOOKUP(C10,MQ!$A$6:$D$26,{2,3,4},0),IFERROR(VLOOKUP(C10,BA!$A$6:$H$191,{2,5,8},0),{"No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3">
      <c r="D11" s="4"/>
    </row>
    <row r="12" spans="1:8" x14ac:dyDescent="0.3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IFERROR(VLOOKUP(C12,BA!$A$6:$H$191,{2,5,8},0),{"No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 x14ac:dyDescent="0.3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IFERROR(VLOOKUP(C13,MA!$A$6:$D$26,{2,3,4},0),IFERROR(VLOOKUP(C13,MO!$A$6:$D$26,{2,3,4},0),IFERROR(VLOOKUP(C13,MQ!$A$6:$D$26,{2,3,4},0),IFERROR(VLOOKUP(C13,BA!$A$6:$H$191,{2,5,8},0),{"No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 x14ac:dyDescent="0.3">
      <c r="D14" s="4"/>
      <c r="E14" s="12"/>
      <c r="F14" s="4"/>
      <c r="H14" s="4"/>
    </row>
    <row r="15" spans="1:8" x14ac:dyDescent="0.3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 x14ac:dyDescent="0.3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 x14ac:dyDescent="0.3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 x14ac:dyDescent="0.3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</v>
      </c>
      <c r="H18" s="16">
        <f>G18*F18</f>
        <v>0</v>
      </c>
    </row>
    <row r="19" spans="3:8" x14ac:dyDescent="0.3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</v>
      </c>
      <c r="H19" s="16">
        <f>G19*F19</f>
        <v>0</v>
      </c>
    </row>
    <row r="21" spans="3:8" x14ac:dyDescent="0.3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3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180.47</v>
      </c>
      <c r="G22" s="23">
        <f>k!$D$3</f>
        <v>0.15</v>
      </c>
      <c r="H22" s="19">
        <f>G22*F22</f>
        <v>27.07</v>
      </c>
    </row>
    <row r="23" spans="3:8" x14ac:dyDescent="0.3">
      <c r="C23" s="19" t="str">
        <f>k!$A$4</f>
        <v>IC</v>
      </c>
      <c r="D23" s="19" t="str">
        <f>k!$B$4</f>
        <v>INDIRECTOS DE CAMPO</v>
      </c>
      <c r="E23" s="20"/>
      <c r="F23" s="19">
        <f>F22</f>
        <v>180.47</v>
      </c>
      <c r="G23" s="23">
        <f>k!$D$4</f>
        <v>0.2</v>
      </c>
      <c r="H23" s="19">
        <f>G23*F23</f>
        <v>36.090000000000003</v>
      </c>
    </row>
    <row r="24" spans="3:8" x14ac:dyDescent="0.3">
      <c r="C24" s="19" t="str">
        <f>k!$A$5</f>
        <v>FI</v>
      </c>
      <c r="D24" s="19" t="str">
        <f>k!$B$5</f>
        <v>FINANCIAMIENTO</v>
      </c>
      <c r="E24" s="20"/>
      <c r="F24" s="19">
        <f>F23+H22+H23</f>
        <v>243.63</v>
      </c>
      <c r="G24" s="23">
        <f>k!$D$5</f>
        <v>0.56000000000000005</v>
      </c>
      <c r="H24" s="19">
        <f>G24*F24</f>
        <v>136.43</v>
      </c>
    </row>
    <row r="25" spans="3:8" x14ac:dyDescent="0.3">
      <c r="C25" s="19" t="str">
        <f>k!$A$6</f>
        <v>UT</v>
      </c>
      <c r="D25" s="19" t="str">
        <f>k!$B$6</f>
        <v>UTILIDAD</v>
      </c>
      <c r="E25" s="20"/>
      <c r="F25" s="19">
        <f>F24+H24</f>
        <v>380.06</v>
      </c>
      <c r="G25" s="23">
        <f>k!$D$6</f>
        <v>0.1</v>
      </c>
      <c r="H25" s="19">
        <f>G25*F25</f>
        <v>38.01</v>
      </c>
    </row>
    <row r="26" spans="3:8" x14ac:dyDescent="0.3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418.07</v>
      </c>
      <c r="G26" s="23">
        <f>k!$D$7</f>
        <v>0</v>
      </c>
      <c r="H26" s="19">
        <f>G26*F26</f>
        <v>0</v>
      </c>
    </row>
    <row r="27" spans="3:8" s="6" customFormat="1" x14ac:dyDescent="0.3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418.07</v>
      </c>
    </row>
    <row r="29" spans="3:8" x14ac:dyDescent="0.3">
      <c r="D29" s="4"/>
      <c r="E29" s="12"/>
      <c r="F29" s="4"/>
      <c r="H29" s="4"/>
    </row>
    <row r="30" spans="3:8" x14ac:dyDescent="0.3">
      <c r="D30" s="4"/>
      <c r="E30" s="12"/>
      <c r="F30" s="4"/>
      <c r="H30" s="4"/>
    </row>
    <row r="31" spans="3:8" x14ac:dyDescent="0.3">
      <c r="D31" s="4"/>
      <c r="E31" s="12"/>
      <c r="F31" s="4"/>
      <c r="H31" s="4"/>
    </row>
    <row r="32" spans="3:8" x14ac:dyDescent="0.3">
      <c r="D32" s="4"/>
      <c r="E32" s="12"/>
      <c r="F32" s="4"/>
      <c r="H32" s="4"/>
    </row>
    <row r="35" spans="1:8" x14ac:dyDescent="0.3">
      <c r="A35" s="1" t="s">
        <v>51</v>
      </c>
      <c r="B35" s="1" t="s">
        <v>52</v>
      </c>
      <c r="E35" s="9" t="s">
        <v>50</v>
      </c>
      <c r="H35" s="1">
        <f>H51</f>
        <v>168.54</v>
      </c>
    </row>
    <row r="36" spans="1:8" x14ac:dyDescent="0.3">
      <c r="D36" s="4"/>
    </row>
    <row r="37" spans="1:8" x14ac:dyDescent="0.3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IFERROR(VLOOKUP(C37,MA!$A$6:$D$26,{2,3,4},0),IFERROR(VLOOKUP(C37,MO!$A$6:$D$26,{2,3,4},0),IFERROR(VLOOKUP(C37,MQ!$A$6:$D$26,{2,3,4},0),IFERROR(VLOOKUP(C37,BA!$A$6:$H$191,{2,5,8},0),{"No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 x14ac:dyDescent="0.3">
      <c r="D38" s="4"/>
      <c r="E38" s="12"/>
      <c r="F38" s="4"/>
      <c r="H38" s="4"/>
    </row>
    <row r="39" spans="1:8" x14ac:dyDescent="0.3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 x14ac:dyDescent="0.3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 x14ac:dyDescent="0.3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 x14ac:dyDescent="0.3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 x14ac:dyDescent="0.3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5" spans="1:8" x14ac:dyDescent="0.3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x14ac:dyDescent="0.3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 x14ac:dyDescent="0.3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 x14ac:dyDescent="0.3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0.56000000000000005</v>
      </c>
      <c r="H48" s="19">
        <f>G48*F48</f>
        <v>55</v>
      </c>
    </row>
    <row r="49" spans="1:8" x14ac:dyDescent="0.3">
      <c r="C49" s="19" t="str">
        <f>k!$A$6</f>
        <v>UT</v>
      </c>
      <c r="D49" s="19" t="str">
        <f>k!$B$6</f>
        <v>UTILIDAD</v>
      </c>
      <c r="E49" s="20"/>
      <c r="F49" s="19">
        <f>F48+H48</f>
        <v>153.22</v>
      </c>
      <c r="G49" s="23">
        <f>k!$D$6</f>
        <v>0.1</v>
      </c>
      <c r="H49" s="19">
        <f>G49*F49</f>
        <v>15.32</v>
      </c>
    </row>
    <row r="50" spans="1:8" x14ac:dyDescent="0.3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168.54</v>
      </c>
      <c r="G50" s="23">
        <f>k!$D$7</f>
        <v>0</v>
      </c>
      <c r="H50" s="19">
        <f>G50*F50</f>
        <v>0</v>
      </c>
    </row>
    <row r="51" spans="1:8" s="6" customFormat="1" x14ac:dyDescent="0.3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168.54</v>
      </c>
    </row>
    <row r="54" spans="1:8" x14ac:dyDescent="0.3">
      <c r="A54" s="1" t="s">
        <v>53</v>
      </c>
      <c r="B54" s="1" t="s">
        <v>54</v>
      </c>
      <c r="E54" s="9" t="s">
        <v>50</v>
      </c>
      <c r="H54" s="1">
        <f>H70</f>
        <v>84.3</v>
      </c>
    </row>
    <row r="55" spans="1:8" x14ac:dyDescent="0.3">
      <c r="D55" s="4"/>
    </row>
    <row r="56" spans="1:8" x14ac:dyDescent="0.3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IFERROR(VLOOKUP(C56,MA!$A$6:$D$26,{2,3,4},0),IFERROR(VLOOKUP(C56,MO!$A$6:$D$26,{2,3,4},0),IFERROR(VLOOKUP(C56,MQ!$A$6:$D$26,{2,3,4},0),IFERROR(VLOOKUP(C56,BA!$A$6:$H$191,{2,5,8},0),{"No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 x14ac:dyDescent="0.3">
      <c r="D57" s="4"/>
      <c r="E57" s="12"/>
      <c r="F57" s="4"/>
      <c r="H57" s="4"/>
    </row>
    <row r="58" spans="1:8" x14ac:dyDescent="0.3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 x14ac:dyDescent="0.3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 x14ac:dyDescent="0.3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 x14ac:dyDescent="0.3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 x14ac:dyDescent="0.3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4" spans="1:8" x14ac:dyDescent="0.3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3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 x14ac:dyDescent="0.3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 x14ac:dyDescent="0.3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0.56000000000000005</v>
      </c>
      <c r="H67" s="19">
        <f>G67*F67</f>
        <v>27.51</v>
      </c>
    </row>
    <row r="68" spans="1:8" x14ac:dyDescent="0.3">
      <c r="C68" s="19" t="str">
        <f>k!$A$6</f>
        <v>UT</v>
      </c>
      <c r="D68" s="19" t="str">
        <f>k!$B$6</f>
        <v>UTILIDAD</v>
      </c>
      <c r="E68" s="20"/>
      <c r="F68" s="19">
        <f>F67+H67</f>
        <v>76.64</v>
      </c>
      <c r="G68" s="23">
        <f>k!$D$6</f>
        <v>0.1</v>
      </c>
      <c r="H68" s="19">
        <f>G68*F68</f>
        <v>7.66</v>
      </c>
    </row>
    <row r="69" spans="1:8" x14ac:dyDescent="0.3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84.3</v>
      </c>
      <c r="G69" s="23">
        <f>k!$D$7</f>
        <v>0</v>
      </c>
      <c r="H69" s="19">
        <f>G69*F69</f>
        <v>0</v>
      </c>
    </row>
    <row r="70" spans="1:8" s="6" customFormat="1" x14ac:dyDescent="0.3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84.3</v>
      </c>
    </row>
    <row r="73" spans="1:8" s="10" customFormat="1" x14ac:dyDescent="0.3">
      <c r="A73" s="10" t="s">
        <v>55</v>
      </c>
      <c r="B73" s="50" t="s">
        <v>56</v>
      </c>
      <c r="C73" s="50"/>
      <c r="D73" s="50"/>
      <c r="E73" s="13" t="s">
        <v>57</v>
      </c>
      <c r="H73" s="10">
        <f>H92</f>
        <v>1317.7</v>
      </c>
    </row>
    <row r="74" spans="1:8" x14ac:dyDescent="0.3">
      <c r="C74" s="1" t="s">
        <v>537</v>
      </c>
      <c r="D74" s="4" t="str" cm="1">
        <f t="array" ref="D74:F74">IFERROR(VLOOKUP(C74,MA!$A$6:$D$26,{2,3,4},0),IFERROR(VLOOKUP(C74,MO!$A$6:$D$26,{2,3,4},0),IFERROR(VLOOKUP(C74,MQ!$A$6:$D$26,{2,3,4},0),IFERROR(VLOOKUP(C74,BA!$A$6:$H$191,{2,5,8},0),{"No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 x14ac:dyDescent="0.3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IFERROR(VLOOKUP(C75,MA!$A$6:$D$26,{2,3,4},0),IFERROR(VLOOKUP(C75,MO!$A$6:$D$26,{2,3,4},0),IFERROR(VLOOKUP(C75,MQ!$A$6:$D$26,{2,3,4},0),IFERROR(VLOOKUP(C75,BA!$A$6:$H$191,{2,5,8},0),{"No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 x14ac:dyDescent="0.3">
      <c r="D76" s="4"/>
      <c r="E76" s="12"/>
      <c r="F76" s="4"/>
      <c r="H76" s="4"/>
    </row>
    <row r="77" spans="1:8" x14ac:dyDescent="0.3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IFERROR(VLOOKUP(C77,MA!$A$6:$D$26,{2,3,4},0),IFERROR(VLOOKUP(C77,MO!$A$6:$D$26,{2,3,4},0),IFERROR(VLOOKUP(C77,MQ!$A$6:$D$26,{2,3,4},0),IFERROR(VLOOKUP(C77,BA!$A$6:$H$191,{2,5,8},0),{"No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 x14ac:dyDescent="0.3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IFERROR(VLOOKUP(C78,MA!$A$6:$D$26,{2,3,4},0),IFERROR(VLOOKUP(C78,MO!$A$6:$D$26,{2,3,4},0),IFERROR(VLOOKUP(C78,MQ!$A$6:$D$26,{2,3,4},0),IFERROR(VLOOKUP(C78,BA!$A$6:$H$191,{2,5,8},0),{"No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 x14ac:dyDescent="0.3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 x14ac:dyDescent="0.3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 x14ac:dyDescent="0.3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 x14ac:dyDescent="0.3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</v>
      </c>
      <c r="H83" s="16">
        <f>G83*F83</f>
        <v>0</v>
      </c>
    </row>
    <row r="84" spans="1:8" x14ac:dyDescent="0.3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</v>
      </c>
      <c r="H84" s="16">
        <f>G84*F84</f>
        <v>0</v>
      </c>
    </row>
    <row r="86" spans="1:8" x14ac:dyDescent="0.3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3">
      <c r="C87" s="19" t="str">
        <f>k!$A$3</f>
        <v>IO</v>
      </c>
      <c r="D87" s="19" t="str">
        <f>k!$B$3</f>
        <v>INDIRECTOS OFICINA</v>
      </c>
      <c r="E87" s="20"/>
      <c r="F87" s="22">
        <f>SUM(H77:H84)</f>
        <v>882.4</v>
      </c>
      <c r="G87" s="23">
        <f>k!$D$3</f>
        <v>0.15</v>
      </c>
      <c r="H87" s="19">
        <f>G87*F87</f>
        <v>132.36000000000001</v>
      </c>
    </row>
    <row r="88" spans="1:8" x14ac:dyDescent="0.3">
      <c r="C88" s="19" t="str">
        <f>k!$A$4</f>
        <v>IC</v>
      </c>
      <c r="D88" s="19" t="str">
        <f>k!$B$4</f>
        <v>INDIRECTOS DE CAMPO</v>
      </c>
      <c r="E88" s="20"/>
      <c r="F88" s="19">
        <f>F87</f>
        <v>882.4</v>
      </c>
      <c r="G88" s="23">
        <f>k!$D$4</f>
        <v>0.2</v>
      </c>
      <c r="H88" s="19">
        <f>G88*F88</f>
        <v>176.48</v>
      </c>
    </row>
    <row r="89" spans="1:8" x14ac:dyDescent="0.3">
      <c r="C89" s="19" t="str">
        <f>k!$A$5</f>
        <v>FI</v>
      </c>
      <c r="D89" s="19" t="str">
        <f>k!$B$5</f>
        <v>FINANCIAMIENTO</v>
      </c>
      <c r="E89" s="20"/>
      <c r="F89" s="19">
        <f>F88+H87+H88</f>
        <v>1191.24</v>
      </c>
      <c r="G89" s="23">
        <v>5.5999999999999999E-3</v>
      </c>
      <c r="H89" s="19">
        <f>G89*F89</f>
        <v>6.67</v>
      </c>
    </row>
    <row r="90" spans="1:8" x14ac:dyDescent="0.3">
      <c r="C90" s="19" t="str">
        <f>k!$A$6</f>
        <v>UT</v>
      </c>
      <c r="D90" s="19" t="str">
        <f>k!$B$6</f>
        <v>UTILIDAD</v>
      </c>
      <c r="E90" s="20"/>
      <c r="F90" s="19">
        <f>F89+H89</f>
        <v>1197.9100000000001</v>
      </c>
      <c r="G90" s="23">
        <f>k!$D$6</f>
        <v>0.1</v>
      </c>
      <c r="H90" s="19">
        <f>G90*F90</f>
        <v>119.79</v>
      </c>
    </row>
    <row r="91" spans="1:8" x14ac:dyDescent="0.3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1317.7</v>
      </c>
      <c r="G91" s="23">
        <f>k!$D$7</f>
        <v>0</v>
      </c>
      <c r="H91" s="19">
        <f>G91*F91</f>
        <v>0</v>
      </c>
    </row>
    <row r="92" spans="1:8" s="6" customFormat="1" x14ac:dyDescent="0.3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1317.7</v>
      </c>
    </row>
    <row r="95" spans="1:8" s="10" customFormat="1" ht="33.6" customHeight="1" x14ac:dyDescent="0.3">
      <c r="A95" s="10" t="s">
        <v>75</v>
      </c>
      <c r="B95" s="50" t="s">
        <v>76</v>
      </c>
      <c r="C95" s="50"/>
      <c r="D95" s="50"/>
      <c r="E95" s="13" t="s">
        <v>551</v>
      </c>
      <c r="H95" s="10">
        <f>H118</f>
        <v>613.47</v>
      </c>
    </row>
    <row r="97" spans="3:9" x14ac:dyDescent="0.3">
      <c r="C97" s="1" t="s">
        <v>548</v>
      </c>
      <c r="D97" s="4" t="str" cm="1">
        <f t="array" ref="D97:F97">IFERROR(VLOOKUP(C97,MA!$A$6:$D$26,{2,3,4},0),IFERROR(VLOOKUP(C97,MO!$A$6:$D$26,{2,3,4},0),IFERROR(VLOOKUP(C97,MQ!$A$6:$D$26,{2,3,4},0),IFERROR(VLOOKUP(C97,BA!$A$6:$H$191,{2,5,8},0),{"No encontrado","X","X"}))))</f>
        <v>CIMBRA COMUN</v>
      </c>
      <c r="E97" s="12" t="str">
        <v>m2</v>
      </c>
      <c r="F97" s="4">
        <v>414.96</v>
      </c>
      <c r="G97" s="1">
        <v>0.3</v>
      </c>
      <c r="H97" s="4">
        <f t="shared" ref="H97" si="6">G97*F97</f>
        <v>124.49</v>
      </c>
    </row>
    <row r="98" spans="3:9" x14ac:dyDescent="0.3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IFERROR(VLOOKUP(C98,MA!$A$6:$D$26,{2,3,4},0),IFERROR(VLOOKUP(C98,MO!$A$6:$D$26,{2,3,4},0),IFERROR(VLOOKUP(C98,MQ!$A$6:$D$26,{2,3,4},0),IFERROR(VLOOKUP(C98,BA!$A$6:$H$191,{2,5,8},0),{"No encontrado","X","X"}))))</f>
        <v>CONCRETO F'c= 150 Kg/cm2 TMA 3/4" HECHO EN OBRA</v>
      </c>
      <c r="E98" s="12" t="str">
        <v>m3</v>
      </c>
      <c r="F98" s="4">
        <v>2460.69</v>
      </c>
      <c r="G98" s="1">
        <f>0.15*0.15*1.05</f>
        <v>0.02</v>
      </c>
      <c r="H98" s="4">
        <f t="shared" ref="H98" si="7">G98*F98</f>
        <v>49.21</v>
      </c>
    </row>
    <row r="99" spans="3:9" x14ac:dyDescent="0.3">
      <c r="C99" s="1" t="s">
        <v>552</v>
      </c>
      <c r="D99" s="4" t="str" cm="1">
        <f t="array" ref="D99:F99">IFERROR(VLOOKUP(C99,MA!$A$6:$D$26,{2,3,4},0),IFERROR(VLOOKUP(C99,MO!$A$6:$D$26,{2,3,4},0),IFERROR(VLOOKUP(C99,MQ!$A$6:$D$26,{2,3,4},0),IFERROR(VLOOKUP(C99,BA!$A$6:$H$191,{2,5,8},0),{"No encontrado","X","X"}))))</f>
        <v>ALAMBRON1/4</v>
      </c>
      <c r="E99" s="12" t="str">
        <v>kg</v>
      </c>
      <c r="F99" s="4">
        <v>16</v>
      </c>
      <c r="G99" s="1">
        <f>0.15*4/0.15*0.248*1.03</f>
        <v>1.02</v>
      </c>
      <c r="H99" s="4">
        <f t="shared" ref="H99:H100" si="8">G99*F99</f>
        <v>16.32</v>
      </c>
    </row>
    <row r="100" spans="3:9" x14ac:dyDescent="0.3">
      <c r="C100" s="1" t="s">
        <v>542</v>
      </c>
      <c r="D100" s="4" t="str" cm="1">
        <f t="array" ref="D100:F100">IFERROR(VLOOKUP(C100,MA!$A$6:$D$26,{2,3,4},0),IFERROR(VLOOKUP(C100,MO!$A$6:$D$26,{2,3,4},0),IFERROR(VLOOKUP(C100,MQ!$A$6:$D$26,{2,3,4},0),IFERROR(VLOOKUP(C100,BA!$A$6:$H$191,{2,5,8},0),{"No encontrado","X","X"}))))</f>
        <v>VARILLA CORRUGADA</v>
      </c>
      <c r="E100" s="12" t="str">
        <v>Kg</v>
      </c>
      <c r="F100" s="4">
        <v>18</v>
      </c>
      <c r="G100" s="1">
        <f>4*0.556*1.05</f>
        <v>2.34</v>
      </c>
      <c r="H100" s="4">
        <f t="shared" si="8"/>
        <v>42.12</v>
      </c>
    </row>
    <row r="101" spans="3:9" x14ac:dyDescent="0.3">
      <c r="C101" s="1" t="s">
        <v>543</v>
      </c>
      <c r="D101" s="4" t="str" cm="1">
        <f t="array" ref="D101:F101">IFERROR(VLOOKUP(C101,MA!$A$6:$D$26,{2,3,4},0),IFERROR(VLOOKUP(C101,MO!$A$6:$D$26,{2,3,4},0),IFERROR(VLOOKUP(C101,MQ!$A$6:$D$26,{2,3,4},0),IFERROR(VLOOKUP(C101,BA!$A$6:$H$191,{2,5,8},0),{"No encontrado","X","X"}))))</f>
        <v>ALAMBRE RECOCIDO</v>
      </c>
      <c r="E101" s="12" t="str">
        <v>Kg</v>
      </c>
      <c r="F101" s="4">
        <v>22</v>
      </c>
      <c r="G101" s="1">
        <f>SUM(G99:G100)*0.03</f>
        <v>0.1</v>
      </c>
      <c r="H101" s="4">
        <f t="shared" ref="H101" si="9">G101*F101</f>
        <v>2.2000000000000002</v>
      </c>
      <c r="I101" s="1" t="s">
        <v>555</v>
      </c>
    </row>
    <row r="102" spans="3:9" x14ac:dyDescent="0.3">
      <c r="D102" s="4"/>
    </row>
    <row r="103" spans="3:9" x14ac:dyDescent="0.3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IFERROR(VLOOKUP(C103,MA!$A$6:$D$26,{2,3,4},0),IFERROR(VLOOKUP(C103,MO!$A$6:$D$26,{2,3,4},0),IFERROR(VLOOKUP(C103,MQ!$A$6:$D$26,{2,3,4},0),IFERROR(VLOOKUP(C103,BA!$A$6:$H$191,{2,5,8},0),{"No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9" x14ac:dyDescent="0.3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IFERROR(VLOOKUP(C104,MA!$A$6:$D$26,{2,3,4},0),IFERROR(VLOOKUP(C104,MO!$A$6:$D$26,{2,3,4},0),IFERROR(VLOOKUP(C104,MQ!$A$6:$D$26,{2,3,4},0),IFERROR(VLOOKUP(C104,BA!$A$6:$H$191,{2,5,8},0),{"No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9" x14ac:dyDescent="0.3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9" x14ac:dyDescent="0.3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9" x14ac:dyDescent="0.3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9" x14ac:dyDescent="0.3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</v>
      </c>
      <c r="H109" s="16">
        <f>G109*F109</f>
        <v>0</v>
      </c>
    </row>
    <row r="110" spans="3:9" x14ac:dyDescent="0.3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</v>
      </c>
      <c r="H110" s="16">
        <f>G110*F110</f>
        <v>0</v>
      </c>
    </row>
    <row r="112" spans="3:9" x14ac:dyDescent="0.3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8" x14ac:dyDescent="0.3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410.81</v>
      </c>
      <c r="G113" s="23">
        <f>k!$D$3</f>
        <v>0.15</v>
      </c>
      <c r="H113" s="19">
        <f>G113*F113</f>
        <v>61.62</v>
      </c>
    </row>
    <row r="114" spans="1:8" x14ac:dyDescent="0.3">
      <c r="C114" s="19" t="str">
        <f>k!$A$4</f>
        <v>IC</v>
      </c>
      <c r="D114" s="19" t="str">
        <f>k!$B$4</f>
        <v>INDIRECTOS DE CAMPO</v>
      </c>
      <c r="E114" s="20"/>
      <c r="F114" s="19">
        <f>F113</f>
        <v>410.81</v>
      </c>
      <c r="G114" s="23">
        <f>k!$D$4</f>
        <v>0.2</v>
      </c>
      <c r="H114" s="19">
        <f>G114*F114</f>
        <v>82.16</v>
      </c>
    </row>
    <row r="115" spans="1:8" x14ac:dyDescent="0.3">
      <c r="C115" s="19" t="str">
        <f>k!$A$5</f>
        <v>FI</v>
      </c>
      <c r="D115" s="19" t="str">
        <f>k!$B$5</f>
        <v>FINANCIAMIENTO</v>
      </c>
      <c r="E115" s="20"/>
      <c r="F115" s="19">
        <f>F114+H113+H114</f>
        <v>554.59</v>
      </c>
      <c r="G115" s="23">
        <v>5.5999999999999999E-3</v>
      </c>
      <c r="H115" s="19">
        <f>G115*F115</f>
        <v>3.11</v>
      </c>
    </row>
    <row r="116" spans="1:8" x14ac:dyDescent="0.3">
      <c r="C116" s="19" t="str">
        <f>k!$A$6</f>
        <v>UT</v>
      </c>
      <c r="D116" s="19" t="str">
        <f>k!$B$6</f>
        <v>UTILIDAD</v>
      </c>
      <c r="E116" s="20"/>
      <c r="F116" s="19">
        <f>F115+H115</f>
        <v>557.70000000000005</v>
      </c>
      <c r="G116" s="23">
        <f>k!$D$6</f>
        <v>0.1</v>
      </c>
      <c r="H116" s="19">
        <f>G116*F116</f>
        <v>55.77</v>
      </c>
    </row>
    <row r="117" spans="1:8" x14ac:dyDescent="0.3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613.47</v>
      </c>
      <c r="G117" s="23">
        <f>k!$D$7</f>
        <v>0</v>
      </c>
      <c r="H117" s="19">
        <f>G117*F117</f>
        <v>0</v>
      </c>
    </row>
    <row r="118" spans="1:8" s="6" customFormat="1" x14ac:dyDescent="0.3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613.47</v>
      </c>
    </row>
    <row r="121" spans="1:8" ht="38.4" customHeight="1" x14ac:dyDescent="0.3">
      <c r="A121" s="10" t="s">
        <v>75</v>
      </c>
      <c r="B121" s="50" t="s">
        <v>559</v>
      </c>
      <c r="C121" s="50"/>
      <c r="D121" s="50"/>
      <c r="E121" s="13" t="s">
        <v>551</v>
      </c>
      <c r="F121" s="10"/>
      <c r="G121" s="10"/>
      <c r="H121" s="10">
        <f>H141</f>
        <v>17.45</v>
      </c>
    </row>
    <row r="123" spans="1:8" x14ac:dyDescent="0.3">
      <c r="C123" s="1" t="s">
        <v>556</v>
      </c>
      <c r="D123" s="4" t="str" cm="1">
        <f t="array" ref="D123:F123">IFERROR(VLOOKUP(C123,MA!$A$6:$D$26,{2,3,4},0),IFERROR(VLOOKUP(C123,MO!$A$6:$D$26,{2,3,4},0),IFERROR(VLOOKUP(C123,MQ!$A$6:$D$26,{2,3,4},0),IFERROR(VLOOKUP(C123,BA!$A$6:$H$191,{2,5,8},0),{"No encontrado","X","X"}))))</f>
        <v>VAPOTTIE</v>
      </c>
      <c r="E123" s="12" t="str">
        <v>lt</v>
      </c>
      <c r="F123" s="4">
        <v>127</v>
      </c>
      <c r="G123" s="1">
        <f>0.2*0.15*1.05</f>
        <v>0.03</v>
      </c>
      <c r="H123" s="4">
        <f t="shared" ref="H123:H124" si="12">G123*F123</f>
        <v>3.81</v>
      </c>
    </row>
    <row r="124" spans="1:8" x14ac:dyDescent="0.3">
      <c r="C124" s="1" t="s">
        <v>539</v>
      </c>
      <c r="D124" s="4" t="str" cm="1">
        <f t="array" ref="D124:F124">IFERROR(VLOOKUP(C124,MA!$A$6:$D$26,{2,3,4},0),IFERROR(VLOOKUP(C124,MO!$A$6:$D$26,{2,3,4},0),IFERROR(VLOOKUP(C124,MQ!$A$6:$D$26,{2,3,4},0),IFERROR(VLOOKUP(C124,BA!$A$6:$H$191,{2,5,8},0),{"No encontrado","X","X"}))))</f>
        <v>ARENA DE RIO L.A.B. EN OBRA</v>
      </c>
      <c r="E124" s="12" t="str">
        <v>m3</v>
      </c>
      <c r="F124" s="4">
        <v>500</v>
      </c>
      <c r="G124" s="40">
        <f>0.003*0.15*1.01</f>
        <v>5.0000000000000001E-4</v>
      </c>
      <c r="H124" s="4">
        <f t="shared" si="12"/>
        <v>0.25</v>
      </c>
    </row>
    <row r="125" spans="1:8" x14ac:dyDescent="0.3">
      <c r="D125" s="4"/>
    </row>
    <row r="126" spans="1:8" x14ac:dyDescent="0.3">
      <c r="D126" s="4"/>
      <c r="E126" s="12"/>
      <c r="F126" s="4"/>
      <c r="H126" s="4"/>
    </row>
    <row r="127" spans="1:8" x14ac:dyDescent="0.3">
      <c r="C127" s="1" t="s">
        <v>11</v>
      </c>
      <c r="D127" s="4" t="str" cm="1">
        <f t="array" ref="D127:F127">IFERROR(VLOOKUP(C127,MA!$A$6:$D$26,{2,3,4},0),IFERROR(VLOOKUP(C127,MO!$A$6:$D$26,{2,3,4},0),IFERROR(VLOOKUP(C127,MQ!$A$6:$D$26,{2,3,4},0),IFERROR(VLOOKUP(C127,BA!$A$6:$H$191,{2,5,8},0),{"No encontrado","X","X"}))))</f>
        <v xml:space="preserve">AYUDANTE GENERAL </v>
      </c>
      <c r="E127" s="12" t="str">
        <v>JOR</v>
      </c>
      <c r="F127" s="4">
        <v>668.33</v>
      </c>
      <c r="G127" s="1">
        <f>1/160</f>
        <v>0.01</v>
      </c>
      <c r="H127" s="4">
        <f t="shared" ref="H127" si="13">G127*F127</f>
        <v>6.68</v>
      </c>
    </row>
    <row r="129" spans="1:8" x14ac:dyDescent="0.3">
      <c r="C129" s="15" t="str">
        <f>k!$A$10</f>
        <v>HE001</v>
      </c>
      <c r="D129" s="16" t="str">
        <f>k!$B$10</f>
        <v>HERRAMIENTA MENOR</v>
      </c>
      <c r="E129" s="17" t="s">
        <v>33</v>
      </c>
      <c r="F129" s="18">
        <f>SUM(H126:H127)</f>
        <v>6.68</v>
      </c>
      <c r="G129" s="16">
        <f>k!$D$10</f>
        <v>0.03</v>
      </c>
      <c r="H129" s="16">
        <f>G129*F129</f>
        <v>0.2</v>
      </c>
    </row>
    <row r="130" spans="1:8" x14ac:dyDescent="0.3">
      <c r="C130" s="15" t="str">
        <f>k!$A$11</f>
        <v>HE002</v>
      </c>
      <c r="D130" s="16" t="str">
        <f>k!$B$11</f>
        <v>MANDO INTERMEDIO</v>
      </c>
      <c r="E130" s="17" t="s">
        <v>33</v>
      </c>
      <c r="F130" s="16">
        <f>F129</f>
        <v>6.68</v>
      </c>
      <c r="G130" s="16">
        <f>k!$D$11</f>
        <v>0.1</v>
      </c>
      <c r="H130" s="16">
        <f>G130*F130</f>
        <v>0.67</v>
      </c>
    </row>
    <row r="131" spans="1:8" x14ac:dyDescent="0.3">
      <c r="C131" s="15" t="str">
        <f>k!$A$12</f>
        <v>HE003</v>
      </c>
      <c r="D131" s="16" t="str">
        <f>k!$B$12</f>
        <v>EQUIPO DE SEGURIDAD</v>
      </c>
      <c r="E131" s="17" t="s">
        <v>33</v>
      </c>
      <c r="F131" s="16">
        <f t="shared" ref="F131:F133" si="14">F130</f>
        <v>6.68</v>
      </c>
      <c r="G131" s="16">
        <f>k!$D$12</f>
        <v>0.01</v>
      </c>
      <c r="H131" s="16">
        <f>G131*F131</f>
        <v>7.0000000000000007E-2</v>
      </c>
    </row>
    <row r="132" spans="1:8" x14ac:dyDescent="0.3">
      <c r="C132" s="15" t="str">
        <f>k!$A$13</f>
        <v>HE004</v>
      </c>
      <c r="D132" s="16" t="str">
        <f>k!$B$13</f>
        <v>PRESTACIONES S.S.</v>
      </c>
      <c r="E132" s="17" t="s">
        <v>33</v>
      </c>
      <c r="F132" s="16">
        <f t="shared" si="14"/>
        <v>6.68</v>
      </c>
      <c r="G132" s="16">
        <f>k!$D$13</f>
        <v>0</v>
      </c>
      <c r="H132" s="16">
        <f>G132*F132</f>
        <v>0</v>
      </c>
    </row>
    <row r="133" spans="1:8" x14ac:dyDescent="0.3">
      <c r="C133" s="15" t="str">
        <f>k!$A$14</f>
        <v>HE005</v>
      </c>
      <c r="D133" s="16" t="str">
        <f>k!$B$14</f>
        <v>IMPUESTO SOBRE NOMINA</v>
      </c>
      <c r="E133" s="17" t="s">
        <v>33</v>
      </c>
      <c r="F133" s="16">
        <f t="shared" si="14"/>
        <v>6.68</v>
      </c>
      <c r="G133" s="16">
        <f>k!$D$14</f>
        <v>0</v>
      </c>
      <c r="H133" s="16">
        <f>G133*F133</f>
        <v>0</v>
      </c>
    </row>
    <row r="135" spans="1:8" x14ac:dyDescent="0.3">
      <c r="C135" s="19" t="str">
        <f>k!$A$2</f>
        <v>CD</v>
      </c>
      <c r="D135" s="19" t="str">
        <f>k!$B$2</f>
        <v>COSTO DIRECTO</v>
      </c>
      <c r="E135" s="20"/>
      <c r="F135" s="21"/>
      <c r="G135" s="21"/>
      <c r="H135" s="21"/>
    </row>
    <row r="136" spans="1:8" x14ac:dyDescent="0.3">
      <c r="C136" s="19" t="str">
        <f>k!$A$3</f>
        <v>IO</v>
      </c>
      <c r="D136" s="19" t="str">
        <f>k!$B$3</f>
        <v>INDIRECTOS OFICINA</v>
      </c>
      <c r="E136" s="20"/>
      <c r="F136" s="22">
        <f>SUM(H123:H133)</f>
        <v>11.68</v>
      </c>
      <c r="G136" s="23">
        <f>k!$D$3</f>
        <v>0.15</v>
      </c>
      <c r="H136" s="19">
        <f>G136*F136</f>
        <v>1.75</v>
      </c>
    </row>
    <row r="137" spans="1:8" x14ac:dyDescent="0.3">
      <c r="C137" s="19" t="str">
        <f>k!$A$4</f>
        <v>IC</v>
      </c>
      <c r="D137" s="19" t="str">
        <f>k!$B$4</f>
        <v>INDIRECTOS DE CAMPO</v>
      </c>
      <c r="E137" s="20"/>
      <c r="F137" s="19">
        <f>F136</f>
        <v>11.68</v>
      </c>
      <c r="G137" s="23">
        <f>k!$D$4</f>
        <v>0.2</v>
      </c>
      <c r="H137" s="19">
        <f>G137*F137</f>
        <v>2.34</v>
      </c>
    </row>
    <row r="138" spans="1:8" x14ac:dyDescent="0.3">
      <c r="C138" s="19" t="str">
        <f>k!$A$5</f>
        <v>FI</v>
      </c>
      <c r="D138" s="19" t="str">
        <f>k!$B$5</f>
        <v>FINANCIAMIENTO</v>
      </c>
      <c r="E138" s="20"/>
      <c r="F138" s="19">
        <f>F137+H136+H137</f>
        <v>15.77</v>
      </c>
      <c r="G138" s="23">
        <v>5.5999999999999999E-3</v>
      </c>
      <c r="H138" s="19">
        <f>G138*F138</f>
        <v>0.09</v>
      </c>
    </row>
    <row r="139" spans="1:8" x14ac:dyDescent="0.3">
      <c r="C139" s="19" t="str">
        <f>k!$A$6</f>
        <v>UT</v>
      </c>
      <c r="D139" s="19" t="str">
        <f>k!$B$6</f>
        <v>UTILIDAD</v>
      </c>
      <c r="E139" s="20"/>
      <c r="F139" s="19">
        <f>F138+H138</f>
        <v>15.86</v>
      </c>
      <c r="G139" s="23">
        <f>k!$D$6</f>
        <v>0.1</v>
      </c>
      <c r="H139" s="19">
        <f>G139*F139</f>
        <v>1.59</v>
      </c>
    </row>
    <row r="140" spans="1:8" x14ac:dyDescent="0.3">
      <c r="C140" s="19" t="str">
        <f>k!$A$7</f>
        <v>CA</v>
      </c>
      <c r="D140" s="19" t="str">
        <f>k!$B$7</f>
        <v>CARGOS ADICIONALES</v>
      </c>
      <c r="E140" s="20"/>
      <c r="F140" s="19">
        <f>(F139+H139)/(1-G140)</f>
        <v>17.45</v>
      </c>
      <c r="G140" s="23">
        <f>k!$D$7</f>
        <v>0</v>
      </c>
      <c r="H140" s="19">
        <f>G140*F140</f>
        <v>0</v>
      </c>
    </row>
    <row r="141" spans="1:8" x14ac:dyDescent="0.3">
      <c r="A141" s="6"/>
      <c r="B141" s="6"/>
      <c r="C141" s="24" t="str">
        <f>k!$A$8</f>
        <v>PU</v>
      </c>
      <c r="D141" s="24" t="str">
        <f>k!$B$8</f>
        <v>PRECIO UNITARIO</v>
      </c>
      <c r="E141" s="25"/>
      <c r="F141" s="24"/>
      <c r="G141" s="26"/>
      <c r="H141" s="24">
        <f>SUM(H136:H140)+F136</f>
        <v>17.45</v>
      </c>
    </row>
    <row r="144" spans="1:8" x14ac:dyDescent="0.3">
      <c r="A144" s="10" t="s">
        <v>75</v>
      </c>
      <c r="B144" s="50" t="s">
        <v>563</v>
      </c>
      <c r="C144" s="50"/>
      <c r="D144" s="50"/>
      <c r="E144" s="13" t="s">
        <v>50</v>
      </c>
      <c r="F144" s="10"/>
      <c r="G144" s="10"/>
      <c r="H144" s="10">
        <f>H165</f>
        <v>613.71</v>
      </c>
    </row>
    <row r="146" spans="3:8" x14ac:dyDescent="0.3">
      <c r="C146" s="1" t="s">
        <v>562</v>
      </c>
      <c r="D146" s="4" t="str" cm="1">
        <f t="array" ref="D146:F146">IFERROR(VLOOKUP(C146,MA!$A$6:$D$26,{2,3,4},0),IFERROR(VLOOKUP(C146,MO!$A$6:$D$26,{2,3,4},0),IFERROR(VLOOKUP(C146,MQ!$A$6:$D$26,{2,3,4},0),IFERROR(VLOOKUP(C146,BA!$A$6:$H$191,{2,5,8},0),{"No encontrado","X","X"}))))</f>
        <v>TABIQUE RR 7-14-28</v>
      </c>
      <c r="E146" s="12" t="str">
        <v>millar</v>
      </c>
      <c r="F146" s="4">
        <v>3000</v>
      </c>
      <c r="G146" s="40">
        <f>1/0.29/0.08*1.03/1000</f>
        <v>4.4400000000000002E-2</v>
      </c>
      <c r="H146" s="4">
        <f t="shared" ref="H146:H147" si="15">G146*F146</f>
        <v>133.19999999999999</v>
      </c>
    </row>
    <row r="147" spans="3:8" x14ac:dyDescent="0.3">
      <c r="C147" s="1" t="s">
        <v>60</v>
      </c>
      <c r="D147" s="4" t="str" cm="1">
        <f t="array" ref="D147:F147">IFERROR(VLOOKUP(C147,MA!$A$6:$D$26,{2,3,4},0),IFERROR(VLOOKUP(C147,MO!$A$6:$D$26,{2,3,4},0),IFERROR(VLOOKUP(C147,MQ!$A$6:$D$26,{2,3,4},0),IFERROR(VLOOKUP(C147,BA!$A$6:$H$191,{2,5,8},0),{"No encontrado","X","X"}))))</f>
        <v>MORTERO CEMENTO-ARENA 1:5</v>
      </c>
      <c r="E147" s="12" t="str">
        <v>m3</v>
      </c>
      <c r="F147" s="4">
        <v>2752.69</v>
      </c>
      <c r="G147" s="40">
        <f>1.05*0.15-44*0.07*0.14*0.28</f>
        <v>3.6799999999999999E-2</v>
      </c>
      <c r="H147" s="4">
        <f t="shared" si="15"/>
        <v>101.3</v>
      </c>
    </row>
    <row r="148" spans="3:8" x14ac:dyDescent="0.3">
      <c r="D148" s="4"/>
    </row>
    <row r="149" spans="3:8" x14ac:dyDescent="0.3">
      <c r="D149" s="4"/>
      <c r="E149" s="12"/>
      <c r="F149" s="4"/>
      <c r="H149" s="4"/>
    </row>
    <row r="150" spans="3:8" x14ac:dyDescent="0.3">
      <c r="C150" s="1" t="s">
        <v>8</v>
      </c>
      <c r="D150" s="4" t="str" cm="1">
        <f t="array" ref="D150:F150">IFERROR(VLOOKUP(C150,MA!$A$6:$D$26,{2,3,4},0),IFERROR(VLOOKUP(C150,MO!$A$6:$D$26,{2,3,4},0),IFERROR(VLOOKUP(C150,MQ!$A$6:$D$26,{2,3,4},0),IFERROR(VLOOKUP(C150,BA!$A$6:$H$191,{2,5,8},0),{"No encontrado","X","X"}))))</f>
        <v>ALBAÑIL, OFICIAL</v>
      </c>
      <c r="E150" s="12" t="str">
        <v>JOR</v>
      </c>
      <c r="F150" s="4">
        <v>879.73</v>
      </c>
      <c r="G150" s="1">
        <f>1/10</f>
        <v>0.1</v>
      </c>
      <c r="H150" s="4">
        <f t="shared" ref="H150" si="16">G150*F150</f>
        <v>87.97</v>
      </c>
    </row>
    <row r="151" spans="3:8" x14ac:dyDescent="0.3">
      <c r="C151" s="1" t="s">
        <v>11</v>
      </c>
      <c r="D151" s="4" t="str" cm="1">
        <f t="array" ref="D151:F151">IFERROR(VLOOKUP(C151,MA!$A$6:$D$26,{2,3,4},0),IFERROR(VLOOKUP(C151,MO!$A$6:$D$26,{2,3,4},0),IFERROR(VLOOKUP(C151,MQ!$A$6:$D$26,{2,3,4},0),IFERROR(VLOOKUP(C151,BA!$A$6:$H$191,{2,5,8},0),{"No encontrado","X","X"}))))</f>
        <v xml:space="preserve">AYUDANTE GENERAL </v>
      </c>
      <c r="E151" s="12" t="str">
        <v>JOR</v>
      </c>
      <c r="F151" s="4">
        <v>668.33</v>
      </c>
      <c r="G151" s="1">
        <f>1/10</f>
        <v>0.1</v>
      </c>
      <c r="H151" s="4">
        <f t="shared" ref="H151" si="17">G151*F151</f>
        <v>66.83</v>
      </c>
    </row>
    <row r="153" spans="3:8" x14ac:dyDescent="0.3">
      <c r="C153" s="15" t="str">
        <f>k!$A$10</f>
        <v>HE001</v>
      </c>
      <c r="D153" s="16" t="str">
        <f>k!$B$10</f>
        <v>HERRAMIENTA MENOR</v>
      </c>
      <c r="E153" s="17" t="s">
        <v>33</v>
      </c>
      <c r="F153" s="18">
        <f>SUM(H149:H151)</f>
        <v>154.80000000000001</v>
      </c>
      <c r="G153" s="16">
        <f>k!$D$10</f>
        <v>0.03</v>
      </c>
      <c r="H153" s="16">
        <f>G153*F153</f>
        <v>4.6399999999999997</v>
      </c>
    </row>
    <row r="154" spans="3:8" x14ac:dyDescent="0.3">
      <c r="C154" s="15" t="str">
        <f>k!$A$11</f>
        <v>HE002</v>
      </c>
      <c r="D154" s="16" t="str">
        <f>k!$B$11</f>
        <v>MANDO INTERMEDIO</v>
      </c>
      <c r="E154" s="17" t="s">
        <v>33</v>
      </c>
      <c r="F154" s="16">
        <f>F153</f>
        <v>154.80000000000001</v>
      </c>
      <c r="G154" s="16">
        <f>k!$D$11</f>
        <v>0.1</v>
      </c>
      <c r="H154" s="16">
        <f>G154*F154</f>
        <v>15.48</v>
      </c>
    </row>
    <row r="155" spans="3:8" x14ac:dyDescent="0.3">
      <c r="C155" s="15" t="str">
        <f>k!$A$12</f>
        <v>HE003</v>
      </c>
      <c r="D155" s="16" t="str">
        <f>k!$B$12</f>
        <v>EQUIPO DE SEGURIDAD</v>
      </c>
      <c r="E155" s="17" t="s">
        <v>33</v>
      </c>
      <c r="F155" s="16">
        <f t="shared" ref="F155:F157" si="18">F154</f>
        <v>154.80000000000001</v>
      </c>
      <c r="G155" s="16">
        <f>k!$D$12</f>
        <v>0.01</v>
      </c>
      <c r="H155" s="16">
        <f>G155*F155</f>
        <v>1.55</v>
      </c>
    </row>
    <row r="156" spans="3:8" x14ac:dyDescent="0.3">
      <c r="C156" s="15" t="str">
        <f>k!$A$13</f>
        <v>HE004</v>
      </c>
      <c r="D156" s="16" t="str">
        <f>k!$B$13</f>
        <v>PRESTACIONES S.S.</v>
      </c>
      <c r="E156" s="17" t="s">
        <v>33</v>
      </c>
      <c r="F156" s="16">
        <f t="shared" si="18"/>
        <v>154.80000000000001</v>
      </c>
      <c r="G156" s="16">
        <f>k!$D$13</f>
        <v>0</v>
      </c>
      <c r="H156" s="16">
        <f>G156*F156</f>
        <v>0</v>
      </c>
    </row>
    <row r="157" spans="3:8" x14ac:dyDescent="0.3">
      <c r="C157" s="15" t="str">
        <f>k!$A$14</f>
        <v>HE005</v>
      </c>
      <c r="D157" s="16" t="str">
        <f>k!$B$14</f>
        <v>IMPUESTO SOBRE NOMINA</v>
      </c>
      <c r="E157" s="17" t="s">
        <v>33</v>
      </c>
      <c r="F157" s="16">
        <f t="shared" si="18"/>
        <v>154.80000000000001</v>
      </c>
      <c r="G157" s="16">
        <f>k!$D$14</f>
        <v>0</v>
      </c>
      <c r="H157" s="16">
        <f>G157*F157</f>
        <v>0</v>
      </c>
    </row>
    <row r="159" spans="3:8" x14ac:dyDescent="0.3">
      <c r="C159" s="19" t="str">
        <f>k!$A$2</f>
        <v>CD</v>
      </c>
      <c r="D159" s="19" t="str">
        <f>k!$B$2</f>
        <v>COSTO DIRECTO</v>
      </c>
      <c r="E159" s="20"/>
      <c r="F159" s="21"/>
      <c r="G159" s="21"/>
      <c r="H159" s="21"/>
    </row>
    <row r="160" spans="3:8" x14ac:dyDescent="0.3">
      <c r="C160" s="19" t="str">
        <f>k!$A$3</f>
        <v>IO</v>
      </c>
      <c r="D160" s="19" t="str">
        <f>k!$B$3</f>
        <v>INDIRECTOS OFICINA</v>
      </c>
      <c r="E160" s="20"/>
      <c r="F160" s="22">
        <f>SUM(H146:H157)</f>
        <v>410.97</v>
      </c>
      <c r="G160" s="23">
        <f>k!$D$3</f>
        <v>0.15</v>
      </c>
      <c r="H160" s="19">
        <f>G160*F160</f>
        <v>61.65</v>
      </c>
    </row>
    <row r="161" spans="1:8" x14ac:dyDescent="0.3">
      <c r="C161" s="19" t="str">
        <f>k!$A$4</f>
        <v>IC</v>
      </c>
      <c r="D161" s="19" t="str">
        <f>k!$B$4</f>
        <v>INDIRECTOS DE CAMPO</v>
      </c>
      <c r="E161" s="20"/>
      <c r="F161" s="19">
        <f>F160</f>
        <v>410.97</v>
      </c>
      <c r="G161" s="23">
        <f>k!$D$4</f>
        <v>0.2</v>
      </c>
      <c r="H161" s="19">
        <f>G161*F161</f>
        <v>82.19</v>
      </c>
    </row>
    <row r="162" spans="1:8" x14ac:dyDescent="0.3">
      <c r="C162" s="19" t="str">
        <f>k!$A$5</f>
        <v>FI</v>
      </c>
      <c r="D162" s="19" t="str">
        <f>k!$B$5</f>
        <v>FINANCIAMIENTO</v>
      </c>
      <c r="E162" s="20"/>
      <c r="F162" s="19">
        <f>F161+H160+H161</f>
        <v>554.80999999999995</v>
      </c>
      <c r="G162" s="23">
        <v>5.5999999999999999E-3</v>
      </c>
      <c r="H162" s="19">
        <f>G162*F162</f>
        <v>3.11</v>
      </c>
    </row>
    <row r="163" spans="1:8" x14ac:dyDescent="0.3">
      <c r="C163" s="19" t="str">
        <f>k!$A$6</f>
        <v>UT</v>
      </c>
      <c r="D163" s="19" t="str">
        <f>k!$B$6</f>
        <v>UTILIDAD</v>
      </c>
      <c r="E163" s="20"/>
      <c r="F163" s="19">
        <f>F162+H162</f>
        <v>557.91999999999996</v>
      </c>
      <c r="G163" s="23">
        <f>k!$D$6</f>
        <v>0.1</v>
      </c>
      <c r="H163" s="19">
        <f>G163*F163</f>
        <v>55.79</v>
      </c>
    </row>
    <row r="164" spans="1:8" x14ac:dyDescent="0.3">
      <c r="C164" s="19" t="str">
        <f>k!$A$7</f>
        <v>CA</v>
      </c>
      <c r="D164" s="19" t="str">
        <f>k!$B$7</f>
        <v>CARGOS ADICIONALES</v>
      </c>
      <c r="E164" s="20"/>
      <c r="F164" s="19">
        <f>(F163+H163)/(1-G164)</f>
        <v>613.71</v>
      </c>
      <c r="G164" s="23">
        <f>k!$D$7</f>
        <v>0</v>
      </c>
      <c r="H164" s="19">
        <f>G164*F164</f>
        <v>0</v>
      </c>
    </row>
    <row r="165" spans="1:8" x14ac:dyDescent="0.3">
      <c r="A165" s="6"/>
      <c r="B165" s="6"/>
      <c r="C165" s="24" t="str">
        <f>k!$A$8</f>
        <v>PU</v>
      </c>
      <c r="D165" s="24" t="str">
        <f>k!$B$8</f>
        <v>PRECIO UNITARIO</v>
      </c>
      <c r="E165" s="25"/>
      <c r="F165" s="24"/>
      <c r="G165" s="26"/>
      <c r="H165" s="24">
        <f>SUM(H160:H164)+F160</f>
        <v>613.71</v>
      </c>
    </row>
  </sheetData>
  <mergeCells count="5">
    <mergeCell ref="B121:D121"/>
    <mergeCell ref="B144:D144"/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G26"/>
  <sheetViews>
    <sheetView workbookViewId="0">
      <selection activeCell="A21" sqref="A21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7" s="2" customFormat="1" ht="28.2" customHeight="1" thickBot="1" x14ac:dyDescent="0.35">
      <c r="A5" s="31" t="s">
        <v>2</v>
      </c>
      <c r="B5" s="31" t="s">
        <v>3</v>
      </c>
      <c r="C5" s="32" t="s">
        <v>5</v>
      </c>
      <c r="D5" s="31" t="s">
        <v>6</v>
      </c>
    </row>
    <row r="6" spans="1:7" x14ac:dyDescent="0.3">
      <c r="A6" s="1" t="s">
        <v>14</v>
      </c>
      <c r="B6" s="1" t="s">
        <v>14</v>
      </c>
      <c r="C6" s="1" t="s">
        <v>15</v>
      </c>
      <c r="D6" s="1">
        <v>2</v>
      </c>
    </row>
    <row r="7" spans="1:7" x14ac:dyDescent="0.3">
      <c r="A7" s="1" t="s">
        <v>536</v>
      </c>
      <c r="B7" s="1" t="s">
        <v>21</v>
      </c>
      <c r="C7" s="1" t="s">
        <v>22</v>
      </c>
      <c r="D7" s="1">
        <v>10</v>
      </c>
    </row>
    <row r="8" spans="1:7" x14ac:dyDescent="0.3">
      <c r="A8" s="1" t="s">
        <v>35</v>
      </c>
      <c r="B8" s="1" t="s">
        <v>35</v>
      </c>
      <c r="C8" s="1" t="s">
        <v>15</v>
      </c>
      <c r="D8" s="1">
        <v>36</v>
      </c>
    </row>
    <row r="9" spans="1:7" x14ac:dyDescent="0.3">
      <c r="A9" s="1" t="s">
        <v>537</v>
      </c>
      <c r="B9" s="1" t="s">
        <v>59</v>
      </c>
      <c r="C9" s="1" t="s">
        <v>57</v>
      </c>
      <c r="D9" s="1">
        <v>450</v>
      </c>
    </row>
    <row r="10" spans="1:7" x14ac:dyDescent="0.3">
      <c r="A10" s="1" t="s">
        <v>538</v>
      </c>
      <c r="B10" s="1" t="s">
        <v>63</v>
      </c>
      <c r="C10" s="1" t="s">
        <v>64</v>
      </c>
      <c r="D10" s="1">
        <v>2500</v>
      </c>
    </row>
    <row r="11" spans="1:7" x14ac:dyDescent="0.3">
      <c r="A11" s="1" t="s">
        <v>539</v>
      </c>
      <c r="B11" s="1" t="s">
        <v>66</v>
      </c>
      <c r="C11" s="1" t="s">
        <v>57</v>
      </c>
      <c r="D11" s="1">
        <v>500</v>
      </c>
    </row>
    <row r="12" spans="1:7" x14ac:dyDescent="0.3">
      <c r="A12" s="1" t="s">
        <v>68</v>
      </c>
      <c r="B12" s="1" t="s">
        <v>540</v>
      </c>
      <c r="C12" s="1" t="s">
        <v>57</v>
      </c>
      <c r="D12" s="1">
        <v>20</v>
      </c>
    </row>
    <row r="13" spans="1:7" x14ac:dyDescent="0.3">
      <c r="A13" s="1" t="s">
        <v>541</v>
      </c>
      <c r="B13" s="1" t="s">
        <v>80</v>
      </c>
      <c r="C13" s="1" t="s">
        <v>57</v>
      </c>
      <c r="D13" s="1">
        <v>600</v>
      </c>
      <c r="G13" s="1" t="s">
        <v>547</v>
      </c>
    </row>
    <row r="14" spans="1:7" x14ac:dyDescent="0.3">
      <c r="A14" s="1" t="s">
        <v>542</v>
      </c>
      <c r="B14" s="1" t="s">
        <v>84</v>
      </c>
      <c r="C14" s="1" t="s">
        <v>15</v>
      </c>
      <c r="D14" s="1">
        <v>18</v>
      </c>
    </row>
    <row r="15" spans="1:7" x14ac:dyDescent="0.3">
      <c r="A15" s="1" t="s">
        <v>543</v>
      </c>
      <c r="B15" s="1" t="s">
        <v>86</v>
      </c>
      <c r="C15" s="1" t="s">
        <v>15</v>
      </c>
      <c r="D15" s="1">
        <v>22</v>
      </c>
    </row>
    <row r="16" spans="1:7" x14ac:dyDescent="0.3">
      <c r="A16" s="1" t="s">
        <v>544</v>
      </c>
      <c r="B16" s="1" t="s">
        <v>88</v>
      </c>
      <c r="C16" s="1" t="s">
        <v>89</v>
      </c>
      <c r="D16" s="1">
        <v>45</v>
      </c>
    </row>
    <row r="17" spans="1:4" x14ac:dyDescent="0.3">
      <c r="A17" s="1" t="s">
        <v>549</v>
      </c>
      <c r="B17" s="1" t="s">
        <v>550</v>
      </c>
      <c r="C17" s="1" t="s">
        <v>89</v>
      </c>
      <c r="D17" s="1">
        <f>2154/1.16/19</f>
        <v>97.73</v>
      </c>
    </row>
    <row r="18" spans="1:4" x14ac:dyDescent="0.3">
      <c r="A18" s="1" t="s">
        <v>552</v>
      </c>
      <c r="B18" s="1" t="s">
        <v>553</v>
      </c>
      <c r="C18" s="1" t="s">
        <v>554</v>
      </c>
      <c r="D18" s="1">
        <v>16</v>
      </c>
    </row>
    <row r="19" spans="1:4" x14ac:dyDescent="0.3">
      <c r="A19" s="1" t="s">
        <v>556</v>
      </c>
      <c r="B19" s="1" t="s">
        <v>558</v>
      </c>
      <c r="C19" s="1" t="s">
        <v>557</v>
      </c>
      <c r="D19" s="1">
        <v>127</v>
      </c>
    </row>
    <row r="20" spans="1:4" x14ac:dyDescent="0.3">
      <c r="A20" s="1" t="s">
        <v>562</v>
      </c>
      <c r="B20" s="1" t="s">
        <v>560</v>
      </c>
      <c r="C20" s="1" t="s">
        <v>561</v>
      </c>
      <c r="D20" s="1">
        <f>3480/1.16</f>
        <v>3000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71</v>
      </c>
    </row>
    <row r="5" spans="1:4" s="2" customFormat="1" ht="28.2" customHeight="1" x14ac:dyDescent="0.3">
      <c r="A5" s="2" t="s">
        <v>70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69</v>
      </c>
      <c r="B6" s="1" t="s">
        <v>73</v>
      </c>
      <c r="C6" s="1" t="s">
        <v>72</v>
      </c>
      <c r="D6" s="1">
        <v>250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I191"/>
  <sheetViews>
    <sheetView tabSelected="1" workbookViewId="0">
      <pane xSplit="8" ySplit="5" topLeftCell="I28" activePane="bottomRight" state="frozen"/>
      <selection pane="topRight" activeCell="I1" sqref="I1"/>
      <selection pane="bottomLeft" activeCell="A6" sqref="A6"/>
      <selection pane="bottomRight" activeCell="D42" sqref="D42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7" width="11.5546875" style="1"/>
    <col min="8" max="8" width="13.88671875" style="1" customWidth="1"/>
    <col min="9" max="16384" width="11.5546875" style="1"/>
  </cols>
  <sheetData>
    <row r="2" spans="1:9" x14ac:dyDescent="0.3">
      <c r="E2" s="9" t="s">
        <v>74</v>
      </c>
    </row>
    <row r="5" spans="1:9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9" s="10" customFormat="1" ht="47.4" customHeight="1" x14ac:dyDescent="0.3">
      <c r="A6" s="10" t="s">
        <v>60</v>
      </c>
      <c r="B6" s="10" t="s">
        <v>61</v>
      </c>
      <c r="E6" s="13" t="s">
        <v>57</v>
      </c>
      <c r="H6" s="14">
        <f>SUM(H7:H19)</f>
        <v>2752.69</v>
      </c>
    </row>
    <row r="7" spans="1:9" x14ac:dyDescent="0.3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IFERROR(VLOOKUP(C7,MA!$A$6:$D$26,{2,3,4},0),IFERROR(VLOOKUP(C7,MO!$A$6:$D$26,{2,3,4},0),IFERROR(VLOOKUP(C7,MQ!$A$6:$D$26,{2,3,4},0),IFERROR(VLOOKUP(C7,BA!$A$6:$H$191,{2,5,8},0),{"No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9" x14ac:dyDescent="0.3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IFERROR(VLOOKUP(C8,MA!$A$6:$D$26,{2,3,4},0),IFERROR(VLOOKUP(C8,MO!$A$6:$D$26,{2,3,4},0),IFERROR(VLOOKUP(C8,MQ!$A$6:$D$26,{2,3,4},0),IFERROR(VLOOKUP(C8,BA!$A$6:$H$191,{2,5,8},0),{"No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9" x14ac:dyDescent="0.3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IFERROR(VLOOKUP(C9,MA!$A$6:$D$26,{2,3,4},0),IFERROR(VLOOKUP(C9,MO!$A$6:$D$26,{2,3,4},0),IFERROR(VLOOKUP(C9,MQ!$A$6:$D$26,{2,3,4},0),IFERROR(VLOOKUP(C9,BA!$A$6:$H$191,{2,5,8},0),{"No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9" x14ac:dyDescent="0.3">
      <c r="D10" s="4"/>
      <c r="E10" s="12"/>
    </row>
    <row r="11" spans="1:9" x14ac:dyDescent="0.3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IFERROR(VLOOKUP(C11,MA!$A$6:$D$26,{2,3,4},0),IFERROR(VLOOKUP(C11,MO!$A$6:$D$26,{2,3,4},0),IFERROR(VLOOKUP(C11,MQ!$A$6:$D$26,{2,3,4},0),IFERROR(VLOOKUP(C11,BA!$A$6:$H$191,{2,5,8},0),{"No encontrado","X","X"}))))</f>
        <v>PEON</v>
      </c>
      <c r="E11" s="12" t="str">
        <v>JOR</v>
      </c>
      <c r="F11" s="4">
        <v>638.33000000000004</v>
      </c>
      <c r="G11" s="1">
        <v>1</v>
      </c>
      <c r="H11" s="4">
        <f>G11*F11</f>
        <v>638.33000000000004</v>
      </c>
    </row>
    <row r="12" spans="1:9" x14ac:dyDescent="0.3">
      <c r="D12" s="4"/>
      <c r="E12" s="12"/>
    </row>
    <row r="13" spans="1:9" x14ac:dyDescent="0.3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9" x14ac:dyDescent="0.3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  <c r="I14" s="1" t="s">
        <v>545</v>
      </c>
    </row>
    <row r="15" spans="1:9" x14ac:dyDescent="0.3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9" x14ac:dyDescent="0.3">
      <c r="C16" s="15"/>
      <c r="D16" s="16"/>
      <c r="E16" s="17"/>
      <c r="F16" s="16"/>
      <c r="G16" s="16"/>
      <c r="H16" s="16"/>
    </row>
    <row r="17" spans="1:8" x14ac:dyDescent="0.3">
      <c r="C17" s="15"/>
      <c r="D17" s="16"/>
      <c r="E17" s="17"/>
      <c r="F17" s="16"/>
      <c r="G17" s="16"/>
      <c r="H17" s="16"/>
    </row>
    <row r="18" spans="1:8" x14ac:dyDescent="0.3">
      <c r="D18" s="4"/>
      <c r="E18" s="12"/>
      <c r="F18" s="4"/>
      <c r="H18" s="4"/>
    </row>
    <row r="19" spans="1:8" x14ac:dyDescent="0.3">
      <c r="C19" s="1" t="s">
        <v>69</v>
      </c>
      <c r="D19" s="4" t="str" cm="1">
        <f t="array" ref="D19:F19">IFERROR(VLOOKUP(C19,MA!$A$6:$D$26,{2,3,4},0),IFERROR(VLOOKUP(C19,MO!$A$6:$D$26,{2,3,4},0),IFERROR(VLOOKUP(C19,MQ!$A$6:$D$26,{2,3,4},0),IFERROR(VLOOKUP(C19,BA!$A$6:$H$191,{2,5,8},0),{"No encontrado","X","X"}))))</f>
        <v>REVOLVEDORA 1 SACO</v>
      </c>
      <c r="E19" s="12" t="str">
        <v>Hr</v>
      </c>
      <c r="F19" s="4">
        <v>250</v>
      </c>
      <c r="G19" s="1">
        <f>8/8</f>
        <v>1</v>
      </c>
      <c r="H19" s="4">
        <f>G19*F19</f>
        <v>250</v>
      </c>
    </row>
    <row r="23" spans="1:8" s="10" customFormat="1" ht="47.4" customHeight="1" x14ac:dyDescent="0.3">
      <c r="A23" s="10" t="s">
        <v>77</v>
      </c>
      <c r="B23" s="10" t="s">
        <v>78</v>
      </c>
      <c r="E23" s="13" t="s">
        <v>57</v>
      </c>
      <c r="H23" s="14">
        <f>SUM(H24:H37)</f>
        <v>2660.49</v>
      </c>
    </row>
    <row r="24" spans="1:8" x14ac:dyDescent="0.3">
      <c r="C24" s="1" t="s">
        <v>538</v>
      </c>
      <c r="D24" s="4" t="str" cm="1">
        <f t="array" ref="D24:F24">IFERROR(VLOOKUP(C24,MA!$A$6:$D$26,{2,3,4},0),IFERROR(VLOOKUP(C24,MO!$A$6:$D$26,{2,3,4},0),IFERROR(VLOOKUP(C24,MQ!$A$6:$D$26,{2,3,4},0),IFERROR(VLOOKUP(C24,BA!$A$6:$H$191,{2,5,8},0),{"No encontrado","X","X"}))))</f>
        <v>CEMENTO GRIS EN SACO</v>
      </c>
      <c r="E24" s="12" t="str">
        <v>Ton</v>
      </c>
      <c r="F24" s="4">
        <v>2500</v>
      </c>
      <c r="G24" s="1">
        <v>0.41</v>
      </c>
      <c r="H24" s="4">
        <f t="shared" ref="H24:H37" si="1">G24*F24</f>
        <v>1025</v>
      </c>
    </row>
    <row r="25" spans="1:8" x14ac:dyDescent="0.3">
      <c r="C25" s="1" t="s">
        <v>539</v>
      </c>
      <c r="D25" s="4" t="str" cm="1">
        <f t="array" ref="D25:F25">IFERROR(VLOOKUP(C25,MA!$A$6:$D$26,{2,3,4},0),IFERROR(VLOOKUP(C25,MO!$A$6:$D$26,{2,3,4},0),IFERROR(VLOOKUP(C25,MQ!$A$6:$D$26,{2,3,4},0),IFERROR(VLOOKUP(C25,BA!$A$6:$H$191,{2,5,8},0),{"No encontrado","X","X"}))))</f>
        <v>ARENA DE RIO L.A.B. EN OBRA</v>
      </c>
      <c r="E25" s="12" t="str">
        <v>m3</v>
      </c>
      <c r="F25" s="4">
        <v>500</v>
      </c>
      <c r="G25" s="1">
        <v>0.54</v>
      </c>
      <c r="H25" s="4">
        <f t="shared" si="1"/>
        <v>270</v>
      </c>
    </row>
    <row r="26" spans="1:8" x14ac:dyDescent="0.3">
      <c r="C26" s="1" t="s">
        <v>541</v>
      </c>
      <c r="D26" s="4" t="str" cm="1">
        <f t="array" ref="D26:F26">IFERROR(VLOOKUP(C26,MA!$A$6:$D$26,{2,3,4},0),IFERROR(VLOOKUP(C26,MO!$A$6:$D$26,{2,3,4},0),IFERROR(VLOOKUP(C26,MQ!$A$6:$D$26,{2,3,4},0),IFERROR(VLOOKUP(C26,BA!$A$6:$H$191,{2,5,8},0),{"No encontrado","X","X"}))))</f>
        <v>GRAVA DE 3/4</v>
      </c>
      <c r="E26" s="12" t="str">
        <v>m3</v>
      </c>
      <c r="F26" s="4">
        <v>600</v>
      </c>
      <c r="G26" s="1">
        <v>0.64</v>
      </c>
      <c r="H26" s="4">
        <f t="shared" si="1"/>
        <v>384</v>
      </c>
    </row>
    <row r="27" spans="1:8" x14ac:dyDescent="0.3">
      <c r="C27" s="1" t="s">
        <v>68</v>
      </c>
      <c r="D27" s="4" t="str" cm="1">
        <f t="array" ref="D27:F27">IFERROR(VLOOKUP(C27,MA!$A$6:$D$26,{2,3,4},0),IFERROR(VLOOKUP(C27,MO!$A$6:$D$26,{2,3,4},0),IFERROR(VLOOKUP(C27,MQ!$A$6:$D$26,{2,3,4},0),IFERROR(VLOOKUP(C27,BA!$A$6:$H$191,{2,5,8},0),{"No encontrado","X","X"}))))</f>
        <v>AGUA EN PIPA</v>
      </c>
      <c r="E27" s="12" t="str">
        <v>m3</v>
      </c>
      <c r="F27" s="4">
        <v>20</v>
      </c>
      <c r="G27" s="1">
        <v>0.19</v>
      </c>
      <c r="H27" s="4">
        <f t="shared" si="1"/>
        <v>3.8</v>
      </c>
    </row>
    <row r="28" spans="1:8" x14ac:dyDescent="0.3">
      <c r="D28" s="4"/>
      <c r="E28" s="12"/>
      <c r="F28" s="4"/>
      <c r="H28" s="4"/>
    </row>
    <row r="29" spans="1:8" x14ac:dyDescent="0.3">
      <c r="C29" s="1" t="s">
        <v>526</v>
      </c>
      <c r="D29" s="4" t="str" cm="1">
        <f t="array" ref="D29:F29">IFERROR(VLOOKUP(C29,MA!$A$6:$D$26,{2,3,4},0),IFERROR(VLOOKUP(C29,MO!$A$6:$D$26,{2,3,4},0),IFERROR(VLOOKUP(C29,MQ!$A$6:$D$26,{2,3,4},0),IFERROR(VLOOKUP(C29,BA!$A$6:$H$191,{2,5,8},0),{"No encontrado","X","X"}))))</f>
        <v>PEON</v>
      </c>
      <c r="E29" s="12" t="str">
        <v>JOR</v>
      </c>
      <c r="F29" s="4">
        <v>638.33000000000004</v>
      </c>
      <c r="G29" s="1">
        <v>1</v>
      </c>
      <c r="H29" s="4">
        <f t="shared" si="1"/>
        <v>638.33000000000004</v>
      </c>
    </row>
    <row r="30" spans="1:8" x14ac:dyDescent="0.3">
      <c r="D30" s="4"/>
      <c r="E30" s="12"/>
      <c r="F30" s="4"/>
      <c r="H30" s="4"/>
    </row>
    <row r="31" spans="1:8" x14ac:dyDescent="0.3">
      <c r="C31" s="15" t="str">
        <f>k!$A$10</f>
        <v>HE001</v>
      </c>
      <c r="D31" s="16" t="str">
        <f>k!$B$10</f>
        <v>HERRAMIENTA MENOR</v>
      </c>
      <c r="E31" s="17" t="s">
        <v>33</v>
      </c>
      <c r="F31" s="18">
        <f>SUM(H28:H29)</f>
        <v>638.33000000000004</v>
      </c>
      <c r="G31" s="16">
        <f>k!$D$10</f>
        <v>0.03</v>
      </c>
      <c r="H31" s="16">
        <f>G31*F31</f>
        <v>19.149999999999999</v>
      </c>
    </row>
    <row r="32" spans="1:8" x14ac:dyDescent="0.3">
      <c r="C32" s="15" t="str">
        <f>k!$A$11</f>
        <v>HE002</v>
      </c>
      <c r="D32" s="16" t="str">
        <f>k!$B$11</f>
        <v>MANDO INTERMEDIO</v>
      </c>
      <c r="E32" s="17" t="s">
        <v>33</v>
      </c>
      <c r="F32" s="16">
        <f>F31</f>
        <v>638.33000000000004</v>
      </c>
      <c r="G32" s="16">
        <f>k!$D$11</f>
        <v>0.1</v>
      </c>
      <c r="H32" s="16">
        <f>G32*F32</f>
        <v>63.83</v>
      </c>
    </row>
    <row r="33" spans="1:8" x14ac:dyDescent="0.3">
      <c r="C33" s="15" t="str">
        <f>k!$A$12</f>
        <v>HE003</v>
      </c>
      <c r="D33" s="16" t="str">
        <f>k!$B$12</f>
        <v>EQUIPO DE SEGURIDAD</v>
      </c>
      <c r="E33" s="17" t="s">
        <v>33</v>
      </c>
      <c r="F33" s="16">
        <f t="shared" ref="F33" si="2">F32</f>
        <v>638.33000000000004</v>
      </c>
      <c r="G33" s="16">
        <f>k!$D$12</f>
        <v>0.01</v>
      </c>
      <c r="H33" s="16">
        <f>G33*F33</f>
        <v>6.38</v>
      </c>
    </row>
    <row r="34" spans="1:8" x14ac:dyDescent="0.3">
      <c r="C34" s="15"/>
      <c r="D34" s="16"/>
      <c r="E34" s="17"/>
      <c r="F34" s="16"/>
      <c r="G34" s="16"/>
      <c r="H34" s="16"/>
    </row>
    <row r="35" spans="1:8" x14ac:dyDescent="0.3">
      <c r="C35" s="15"/>
      <c r="D35" s="16"/>
      <c r="E35" s="17"/>
      <c r="F35" s="16"/>
      <c r="G35" s="16"/>
      <c r="H35" s="16"/>
    </row>
    <row r="36" spans="1:8" x14ac:dyDescent="0.3">
      <c r="D36" s="4"/>
      <c r="E36" s="12"/>
      <c r="F36" s="4"/>
      <c r="H36" s="4"/>
    </row>
    <row r="37" spans="1:8" x14ac:dyDescent="0.3">
      <c r="C37" s="1" t="s">
        <v>69</v>
      </c>
      <c r="D37" s="4" t="str" cm="1">
        <f t="array" ref="D37:F37">IFERROR(VLOOKUP(C37,MA!$A$6:$D$26,{2,3,4},0),IFERROR(VLOOKUP(C37,MO!$A$6:$D$26,{2,3,4},0),IFERROR(VLOOKUP(C37,MQ!$A$6:$D$26,{2,3,4},0),IFERROR(VLOOKUP(C37,BA!$A$6:$H$191,{2,5,8},0),{"No encontrado","X","X"}))))</f>
        <v>REVOLVEDORA 1 SACO</v>
      </c>
      <c r="E37" s="12" t="str">
        <v>Hr</v>
      </c>
      <c r="F37" s="4">
        <v>250</v>
      </c>
      <c r="G37" s="1">
        <v>1</v>
      </c>
      <c r="H37" s="4">
        <f t="shared" si="1"/>
        <v>250</v>
      </c>
    </row>
    <row r="39" spans="1:8" x14ac:dyDescent="0.3">
      <c r="A39" s="10" t="s">
        <v>81</v>
      </c>
      <c r="B39" s="10" t="s">
        <v>546</v>
      </c>
      <c r="C39" s="10"/>
      <c r="D39" s="10"/>
      <c r="E39" s="13" t="s">
        <v>57</v>
      </c>
      <c r="F39" s="10"/>
      <c r="G39" s="10"/>
      <c r="H39" s="14">
        <f>SUM(H40:H53)</f>
        <v>2460.69</v>
      </c>
    </row>
    <row r="40" spans="1:8" s="10" customFormat="1" ht="47.4" customHeight="1" x14ac:dyDescent="0.3">
      <c r="A40" s="1"/>
      <c r="B40" s="1"/>
      <c r="C40" s="1" t="s">
        <v>538</v>
      </c>
      <c r="D40" s="4" t="str" cm="1">
        <f t="array" ref="D40:F40">IFERROR(VLOOKUP(C40,MA!$A$6:$D$26,{2,3,4},0),IFERROR(VLOOKUP(C40,MO!$A$6:$D$26,{2,3,4},0),IFERROR(VLOOKUP(C40,MQ!$A$6:$D$26,{2,3,4},0),IFERROR(VLOOKUP(C40,BA!$A$6:$H$191,{2,5,8},0),{"No encontrado","X","X"}))))</f>
        <v>CEMENTO GRIS EN SACO</v>
      </c>
      <c r="E40" s="12" t="str">
        <v>Ton</v>
      </c>
      <c r="F40" s="4">
        <v>2500</v>
      </c>
      <c r="G40" s="49">
        <v>0.32600000000000001</v>
      </c>
      <c r="H40" s="4">
        <f t="shared" ref="H40:H43" si="3">G40*F40</f>
        <v>815</v>
      </c>
    </row>
    <row r="41" spans="1:8" x14ac:dyDescent="0.3">
      <c r="C41" s="1" t="s">
        <v>539</v>
      </c>
      <c r="D41" s="4" t="str" cm="1">
        <f t="array" ref="D41:F41">IFERROR(VLOOKUP(C41,MA!$A$6:$D$26,{2,3,4},0),IFERROR(VLOOKUP(C41,MO!$A$6:$D$26,{2,3,4},0),IFERROR(VLOOKUP(C41,MQ!$A$6:$D$26,{2,3,4},0),IFERROR(VLOOKUP(C41,BA!$A$6:$H$191,{2,5,8},0),{"No encontrado","X","X"}))))</f>
        <v>ARENA DE RIO L.A.B. EN OBRA</v>
      </c>
      <c r="E41" s="12" t="str">
        <v>m3</v>
      </c>
      <c r="F41" s="4">
        <v>500</v>
      </c>
      <c r="G41" s="49">
        <v>0.53600000000000003</v>
      </c>
      <c r="H41" s="4">
        <f t="shared" si="3"/>
        <v>268</v>
      </c>
    </row>
    <row r="42" spans="1:8" x14ac:dyDescent="0.3">
      <c r="C42" s="1" t="s">
        <v>541</v>
      </c>
      <c r="D42" s="4" t="str" cm="1">
        <f t="array" ref="D42:F42">IFERROR(VLOOKUP(C42,MA!$A$6:$D$26,{2,3,4},0),IFERROR(VLOOKUP(C42,MO!$A$6:$D$26,{2,3,4},0),IFERROR(VLOOKUP(C42,MQ!$A$6:$D$26,{2,3,4},0),IFERROR(VLOOKUP(C42,BA!$A$6:$H$191,{2,5,8},0),{"No encontrado","X","X"}))))</f>
        <v>GRAVA DE 3/4</v>
      </c>
      <c r="E42" s="12" t="str">
        <v>m3</v>
      </c>
      <c r="F42" s="4">
        <v>600</v>
      </c>
      <c r="G42" s="49">
        <v>0.65</v>
      </c>
      <c r="H42" s="4">
        <f t="shared" si="3"/>
        <v>390</v>
      </c>
    </row>
    <row r="43" spans="1:8" x14ac:dyDescent="0.3">
      <c r="C43" s="1" t="s">
        <v>68</v>
      </c>
      <c r="D43" s="4" t="str" cm="1">
        <f t="array" ref="D43:F43">IFERROR(VLOOKUP(C43,MA!$A$6:$D$26,{2,3,4},0),IFERROR(VLOOKUP(C43,MO!$A$6:$D$26,{2,3,4},0),IFERROR(VLOOKUP(C43,MQ!$A$6:$D$26,{2,3,4},0),IFERROR(VLOOKUP(C43,BA!$A$6:$H$191,{2,5,8},0),{"No encontrado","X","X"}))))</f>
        <v>AGUA EN PIPA</v>
      </c>
      <c r="E43" s="12" t="str">
        <v>m3</v>
      </c>
      <c r="F43" s="4">
        <v>20</v>
      </c>
      <c r="G43" s="1">
        <v>0.5</v>
      </c>
      <c r="H43" s="4">
        <f t="shared" si="3"/>
        <v>10</v>
      </c>
    </row>
    <row r="44" spans="1:8" x14ac:dyDescent="0.3">
      <c r="D44" s="4"/>
      <c r="E44" s="12"/>
      <c r="F44" s="4"/>
      <c r="H44" s="4"/>
    </row>
    <row r="45" spans="1:8" x14ac:dyDescent="0.3">
      <c r="C45" s="1" t="s">
        <v>526</v>
      </c>
      <c r="D45" s="4" t="str" cm="1">
        <f t="array" ref="D45:F45">IFERROR(VLOOKUP(C45,MA!$A$6:$D$26,{2,3,4},0),IFERROR(VLOOKUP(C45,MO!$A$6:$D$26,{2,3,4},0),IFERROR(VLOOKUP(C45,MQ!$A$6:$D$26,{2,3,4},0),IFERROR(VLOOKUP(C45,BA!$A$6:$H$191,{2,5,8},0),{"No encontrado","X","X"}))))</f>
        <v>PEON</v>
      </c>
      <c r="E45" s="12" t="str">
        <v>JOR</v>
      </c>
      <c r="F45" s="4">
        <v>638.33000000000004</v>
      </c>
      <c r="G45" s="1">
        <v>1</v>
      </c>
      <c r="H45" s="4">
        <f t="shared" ref="H45" si="4">G45*F45</f>
        <v>638.33000000000004</v>
      </c>
    </row>
    <row r="46" spans="1:8" x14ac:dyDescent="0.3">
      <c r="D46" s="4"/>
      <c r="E46" s="12"/>
      <c r="F46" s="4"/>
      <c r="H46" s="4"/>
    </row>
    <row r="47" spans="1:8" x14ac:dyDescent="0.3">
      <c r="C47" s="15" t="str">
        <f>k!$A$10</f>
        <v>HE001</v>
      </c>
      <c r="D47" s="16" t="str">
        <f>k!$B$10</f>
        <v>HERRAMIENTA MENOR</v>
      </c>
      <c r="E47" s="17" t="s">
        <v>33</v>
      </c>
      <c r="F47" s="18">
        <f>SUM(H44:H45)</f>
        <v>638.33000000000004</v>
      </c>
      <c r="G47" s="16">
        <f>k!$D$10</f>
        <v>0.03</v>
      </c>
      <c r="H47" s="16">
        <f>G47*F47</f>
        <v>19.149999999999999</v>
      </c>
    </row>
    <row r="48" spans="1:8" x14ac:dyDescent="0.3">
      <c r="C48" s="15" t="str">
        <f>k!$A$11</f>
        <v>HE002</v>
      </c>
      <c r="D48" s="16" t="str">
        <f>k!$B$11</f>
        <v>MANDO INTERMEDIO</v>
      </c>
      <c r="E48" s="17" t="s">
        <v>33</v>
      </c>
      <c r="F48" s="16">
        <f>F47</f>
        <v>638.33000000000004</v>
      </c>
      <c r="G48" s="16">
        <f>k!$D$11</f>
        <v>0.1</v>
      </c>
      <c r="H48" s="16">
        <f>G48*F48</f>
        <v>63.83</v>
      </c>
    </row>
    <row r="49" spans="1:8" x14ac:dyDescent="0.3">
      <c r="C49" s="15" t="str">
        <f>k!$A$12</f>
        <v>HE003</v>
      </c>
      <c r="D49" s="16" t="str">
        <f>k!$B$12</f>
        <v>EQUIPO DE SEGURIDAD</v>
      </c>
      <c r="E49" s="17" t="s">
        <v>33</v>
      </c>
      <c r="F49" s="16">
        <f t="shared" ref="F49" si="5">F48</f>
        <v>638.33000000000004</v>
      </c>
      <c r="G49" s="16">
        <f>k!$D$12</f>
        <v>0.01</v>
      </c>
      <c r="H49" s="16">
        <f>G49*F49</f>
        <v>6.38</v>
      </c>
    </row>
    <row r="50" spans="1:8" x14ac:dyDescent="0.3">
      <c r="C50" s="15"/>
      <c r="D50" s="16"/>
      <c r="E50" s="17"/>
      <c r="F50" s="16"/>
      <c r="G50" s="16"/>
      <c r="H50" s="16"/>
    </row>
    <row r="51" spans="1:8" x14ac:dyDescent="0.3">
      <c r="C51" s="15"/>
      <c r="D51" s="16"/>
      <c r="E51" s="17"/>
      <c r="F51" s="16"/>
      <c r="G51" s="16"/>
      <c r="H51" s="16"/>
    </row>
    <row r="52" spans="1:8" x14ac:dyDescent="0.3">
      <c r="D52" s="4"/>
      <c r="E52" s="12"/>
      <c r="F52" s="4"/>
      <c r="H52" s="4"/>
    </row>
    <row r="53" spans="1:8" x14ac:dyDescent="0.3">
      <c r="C53" s="1" t="s">
        <v>69</v>
      </c>
      <c r="D53" s="4" t="str" cm="1">
        <f t="array" ref="D53:F53">IFERROR(VLOOKUP(C53,MA!$A$6:$D$26,{2,3,4},0),IFERROR(VLOOKUP(C53,MO!$A$6:$D$26,{2,3,4},0),IFERROR(VLOOKUP(C53,MQ!$A$6:$D$26,{2,3,4},0),IFERROR(VLOOKUP(C53,BA!$A$6:$H$191,{2,5,8},0),{"No encontrado","X","X"}))))</f>
        <v>REVOLVEDORA 1 SACO</v>
      </c>
      <c r="E53" s="12" t="str">
        <v>Hr</v>
      </c>
      <c r="F53" s="4">
        <v>250</v>
      </c>
      <c r="G53" s="1">
        <v>1</v>
      </c>
      <c r="H53" s="4">
        <f t="shared" ref="H53" si="6">G53*F53</f>
        <v>250</v>
      </c>
    </row>
    <row r="56" spans="1:8" x14ac:dyDescent="0.3">
      <c r="A56" s="10" t="s">
        <v>548</v>
      </c>
      <c r="B56" s="10" t="s">
        <v>82</v>
      </c>
      <c r="C56" s="10"/>
      <c r="D56" s="10"/>
      <c r="E56" s="13" t="s">
        <v>50</v>
      </c>
      <c r="F56" s="10"/>
      <c r="G56" s="10"/>
      <c r="H56" s="14">
        <f>SUM(H57:H69)</f>
        <v>414.96</v>
      </c>
    </row>
    <row r="57" spans="1:8" x14ac:dyDescent="0.3">
      <c r="C57" s="1" t="s">
        <v>536</v>
      </c>
      <c r="D57" s="4" t="str" cm="1">
        <f t="array" ref="D57:F57">IFERROR(VLOOKUP(C57,MA!$A$6:$D$26,{2,3,4},0),IFERROR(VLOOKUP(C57,MO!$A$6:$D$26,{2,3,4},0),IFERROR(VLOOKUP(C57,MQ!$A$6:$D$26,{2,3,4},0),IFERROR(VLOOKUP(C57,BA!$A$6:$H$191,{2,5,8},0),{"No encontrado","X","X"}))))</f>
        <v>MADERA DE PINO DE TERCERA</v>
      </c>
      <c r="E57" s="12" t="str">
        <v>Pt</v>
      </c>
      <c r="F57" s="4">
        <v>10</v>
      </c>
      <c r="G57" s="1">
        <f>11/5*1.25</f>
        <v>2.75</v>
      </c>
      <c r="H57" s="4">
        <f t="shared" ref="H57:H62" si="7">G57*F57</f>
        <v>27.5</v>
      </c>
    </row>
    <row r="58" spans="1:8" x14ac:dyDescent="0.3">
      <c r="C58" s="1" t="s">
        <v>35</v>
      </c>
      <c r="D58" s="4" t="str" cm="1">
        <f t="array" ref="D58:F58">IFERROR(VLOOKUP(C58,MA!$A$6:$D$26,{2,3,4},0),IFERROR(VLOOKUP(C58,MO!$A$6:$D$26,{2,3,4},0),IFERROR(VLOOKUP(C58,MQ!$A$6:$D$26,{2,3,4},0),IFERROR(VLOOKUP(C58,BA!$A$6:$H$191,{2,5,8},0),{"No encontrado","X","X"}))))</f>
        <v>CLAVO</v>
      </c>
      <c r="E58" s="12" t="str">
        <v>Kg</v>
      </c>
      <c r="F58" s="4">
        <v>36</v>
      </c>
      <c r="G58" s="1">
        <v>0.1</v>
      </c>
      <c r="H58" s="4">
        <f t="shared" si="7"/>
        <v>3.6</v>
      </c>
    </row>
    <row r="59" spans="1:8" x14ac:dyDescent="0.3">
      <c r="C59" s="1" t="s">
        <v>543</v>
      </c>
      <c r="D59" s="4" t="str" cm="1">
        <f t="array" ref="D59:F59">IFERROR(VLOOKUP(C59,MA!$A$6:$D$26,{2,3,4},0),IFERROR(VLOOKUP(C59,MO!$A$6:$D$26,{2,3,4},0),IFERROR(VLOOKUP(C59,MQ!$A$6:$D$26,{2,3,4},0),IFERROR(VLOOKUP(C59,BA!$A$6:$H$191,{2,5,8},0),{"No encontrado","X","X"}))))</f>
        <v>ALAMBRE RECOCIDO</v>
      </c>
      <c r="E59" s="12" t="str">
        <v>Kg</v>
      </c>
      <c r="F59" s="4">
        <v>22</v>
      </c>
      <c r="G59" s="1">
        <v>0.5</v>
      </c>
      <c r="H59" s="4">
        <f t="shared" ref="H59" si="8">G59*F59</f>
        <v>11</v>
      </c>
    </row>
    <row r="60" spans="1:8" x14ac:dyDescent="0.3">
      <c r="C60" s="1" t="s">
        <v>549</v>
      </c>
      <c r="D60" s="4" t="str" cm="1">
        <f t="array" ref="D60:F60">IFERROR(VLOOKUP(C60,MA!$A$6:$D$26,{2,3,4},0),IFERROR(VLOOKUP(C60,MO!$A$6:$D$26,{2,3,4},0),IFERROR(VLOOKUP(C60,MQ!$A$6:$D$26,{2,3,4},0),IFERROR(VLOOKUP(C60,BA!$A$6:$H$191,{2,5,8},0),{"No encontrado","X","X"}))))</f>
        <v>DESMOLDANTE</v>
      </c>
      <c r="E60" s="12" t="str">
        <v>Lt</v>
      </c>
      <c r="F60" s="4">
        <v>97.73</v>
      </c>
      <c r="G60" s="1">
        <f>1/5</f>
        <v>0.2</v>
      </c>
      <c r="H60" s="4">
        <f t="shared" si="7"/>
        <v>19.55</v>
      </c>
    </row>
    <row r="61" spans="1:8" x14ac:dyDescent="0.3">
      <c r="D61" s="4"/>
      <c r="E61" s="12"/>
      <c r="F61" s="4"/>
      <c r="H61" s="4"/>
    </row>
    <row r="62" spans="1:8" x14ac:dyDescent="0.3">
      <c r="C62" s="1" t="s">
        <v>13</v>
      </c>
      <c r="D62" s="4" t="str" cm="1">
        <f t="array" ref="D62:F62">IFERROR(VLOOKUP(C62,MA!$A$6:$D$26,{2,3,4},0),IFERROR(VLOOKUP(C62,MO!$A$6:$D$26,{2,3,4},0),IFERROR(VLOOKUP(C62,MQ!$A$6:$D$26,{2,3,4},0),IFERROR(VLOOKUP(C62,BA!$A$6:$H$191,{2,5,8},0),{"No encontrado","X","X"}))))</f>
        <v>CARPINTERO DE OBRA NEGRA, OFICIAL</v>
      </c>
      <c r="E62" s="12" t="str">
        <v>JOR</v>
      </c>
      <c r="F62" s="4">
        <v>881.24</v>
      </c>
      <c r="G62" s="1">
        <f>1/5</f>
        <v>0.2</v>
      </c>
      <c r="H62" s="4">
        <f t="shared" si="7"/>
        <v>176.25</v>
      </c>
    </row>
    <row r="63" spans="1:8" x14ac:dyDescent="0.3">
      <c r="C63" s="1" t="s">
        <v>11</v>
      </c>
      <c r="D63" s="4" t="str" cm="1">
        <f t="array" ref="D63:F63">IFERROR(VLOOKUP(C63,MA!$A$6:$D$26,{2,3,4},0),IFERROR(VLOOKUP(C63,MO!$A$6:$D$26,{2,3,4},0),IFERROR(VLOOKUP(C63,MQ!$A$6:$D$26,{2,3,4},0),IFERROR(VLOOKUP(C63,BA!$A$6:$H$191,{2,5,8},0),{"No encontrado","X","X"}))))</f>
        <v xml:space="preserve">AYUDANTE GENERAL </v>
      </c>
      <c r="E63" s="12" t="str">
        <v>JOR</v>
      </c>
      <c r="F63" s="4">
        <v>668.33</v>
      </c>
      <c r="G63" s="1">
        <f>1/5</f>
        <v>0.2</v>
      </c>
      <c r="H63" s="4">
        <f t="shared" ref="H63" si="9">G63*F63</f>
        <v>133.66999999999999</v>
      </c>
    </row>
    <row r="64" spans="1:8" x14ac:dyDescent="0.3">
      <c r="D64" s="4"/>
      <c r="E64" s="12"/>
      <c r="F64" s="4"/>
      <c r="H64" s="4"/>
    </row>
    <row r="65" spans="3:8" x14ac:dyDescent="0.3">
      <c r="C65" s="15" t="str">
        <f>k!$A$10</f>
        <v>HE001</v>
      </c>
      <c r="D65" s="16" t="str">
        <f>k!$B$10</f>
        <v>HERRAMIENTA MENOR</v>
      </c>
      <c r="E65" s="17" t="s">
        <v>33</v>
      </c>
      <c r="F65" s="18">
        <f>SUM(H62:H63)</f>
        <v>309.92</v>
      </c>
      <c r="G65" s="16">
        <f>k!$D$10</f>
        <v>0.03</v>
      </c>
      <c r="H65" s="16">
        <f>G65*F65</f>
        <v>9.3000000000000007</v>
      </c>
    </row>
    <row r="66" spans="3:8" x14ac:dyDescent="0.3">
      <c r="C66" s="15" t="str">
        <f>k!$A$11</f>
        <v>HE002</v>
      </c>
      <c r="D66" s="16" t="str">
        <f>k!$B$11</f>
        <v>MANDO INTERMEDIO</v>
      </c>
      <c r="E66" s="17" t="s">
        <v>33</v>
      </c>
      <c r="F66" s="16">
        <f>F65</f>
        <v>309.92</v>
      </c>
      <c r="G66" s="16">
        <f>k!$D$11</f>
        <v>0.1</v>
      </c>
      <c r="H66" s="16">
        <f>G66*F66</f>
        <v>30.99</v>
      </c>
    </row>
    <row r="67" spans="3:8" x14ac:dyDescent="0.3">
      <c r="C67" s="15" t="str">
        <f>k!$A$12</f>
        <v>HE003</v>
      </c>
      <c r="D67" s="16" t="str">
        <f>k!$B$12</f>
        <v>EQUIPO DE SEGURIDAD</v>
      </c>
      <c r="E67" s="17" t="s">
        <v>33</v>
      </c>
      <c r="F67" s="16">
        <f t="shared" ref="F67" si="10">F66</f>
        <v>309.92</v>
      </c>
      <c r="G67" s="16">
        <f>k!$D$12</f>
        <v>0.01</v>
      </c>
      <c r="H67" s="16">
        <f>G67*F67</f>
        <v>3.1</v>
      </c>
    </row>
    <row r="68" spans="3:8" x14ac:dyDescent="0.3">
      <c r="C68" s="15"/>
      <c r="D68" s="16"/>
      <c r="E68" s="17"/>
      <c r="F68" s="16"/>
      <c r="G68" s="16"/>
      <c r="H68" s="16"/>
    </row>
    <row r="69" spans="3:8" x14ac:dyDescent="0.3">
      <c r="C69" s="15"/>
      <c r="D69" s="16"/>
      <c r="E69" s="17"/>
      <c r="F69" s="16"/>
      <c r="G69" s="16"/>
      <c r="H69" s="16"/>
    </row>
    <row r="191" spans="1:5" x14ac:dyDescent="0.3">
      <c r="A191" s="3" t="s">
        <v>20</v>
      </c>
      <c r="B191" s="3"/>
      <c r="C191" s="3"/>
      <c r="D191" s="3"/>
      <c r="E191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D8" sqref="D8"/>
    </sheetView>
  </sheetViews>
  <sheetFormatPr baseColWidth="10" defaultRowHeight="14.4" x14ac:dyDescent="0.3"/>
  <sheetData>
    <row r="1" spans="1:14" x14ac:dyDescent="0.3">
      <c r="A1" t="s">
        <v>41</v>
      </c>
    </row>
    <row r="2" spans="1:14" x14ac:dyDescent="0.3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3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3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3">
      <c r="A5" s="27" t="s">
        <v>43</v>
      </c>
      <c r="B5" s="27" t="s">
        <v>44</v>
      </c>
      <c r="C5" s="27"/>
      <c r="D5" s="28">
        <v>0.56000000000000005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 x14ac:dyDescent="0.3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 x14ac:dyDescent="0.3">
      <c r="A7" s="27" t="s">
        <v>47</v>
      </c>
      <c r="B7" s="27" t="s">
        <v>48</v>
      </c>
      <c r="C7" s="27"/>
      <c r="D7" s="28">
        <v>0</v>
      </c>
    </row>
    <row r="8" spans="1:14" x14ac:dyDescent="0.3">
      <c r="A8" s="27" t="s">
        <v>16</v>
      </c>
      <c r="B8" s="27" t="s">
        <v>49</v>
      </c>
      <c r="C8" s="27"/>
      <c r="D8" s="28"/>
    </row>
    <row r="10" spans="1:14" x14ac:dyDescent="0.3">
      <c r="A10" s="29" t="s">
        <v>23</v>
      </c>
      <c r="B10" s="29" t="s">
        <v>24</v>
      </c>
      <c r="C10" s="29"/>
      <c r="D10" s="30">
        <v>0.03</v>
      </c>
    </row>
    <row r="11" spans="1:14" x14ac:dyDescent="0.3">
      <c r="A11" s="29" t="s">
        <v>25</v>
      </c>
      <c r="B11" s="29" t="s">
        <v>28</v>
      </c>
      <c r="C11" s="29"/>
      <c r="D11" s="30">
        <v>0.1</v>
      </c>
    </row>
    <row r="12" spans="1:14" x14ac:dyDescent="0.3">
      <c r="A12" s="29" t="s">
        <v>26</v>
      </c>
      <c r="B12" s="29" t="s">
        <v>29</v>
      </c>
      <c r="C12" s="29"/>
      <c r="D12" s="30">
        <v>0.01</v>
      </c>
    </row>
    <row r="13" spans="1:14" x14ac:dyDescent="0.3">
      <c r="A13" s="29" t="s">
        <v>27</v>
      </c>
      <c r="B13" s="29" t="s">
        <v>30</v>
      </c>
      <c r="C13" s="29"/>
      <c r="D13" s="30">
        <v>0</v>
      </c>
    </row>
    <row r="14" spans="1:14" x14ac:dyDescent="0.3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F13" sqref="F13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7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8</v>
      </c>
      <c r="B6" s="1" t="s">
        <v>506</v>
      </c>
      <c r="C6" s="1" t="s">
        <v>10</v>
      </c>
      <c r="D6" s="1">
        <v>879.73</v>
      </c>
    </row>
    <row r="7" spans="1:4" x14ac:dyDescent="0.3">
      <c r="A7" s="1" t="s">
        <v>11</v>
      </c>
      <c r="B7" s="1" t="s">
        <v>531</v>
      </c>
      <c r="C7" s="1" t="s">
        <v>10</v>
      </c>
      <c r="D7" s="1">
        <v>668.33</v>
      </c>
    </row>
    <row r="8" spans="1:4" x14ac:dyDescent="0.3">
      <c r="A8" s="1" t="s">
        <v>12</v>
      </c>
      <c r="B8" s="1" t="s">
        <v>507</v>
      </c>
      <c r="C8" s="1" t="s">
        <v>10</v>
      </c>
      <c r="D8" s="1">
        <v>930.82</v>
      </c>
    </row>
    <row r="9" spans="1:4" x14ac:dyDescent="0.3">
      <c r="A9" s="1" t="s">
        <v>13</v>
      </c>
      <c r="B9" s="1" t="s">
        <v>508</v>
      </c>
      <c r="C9" s="1" t="s">
        <v>10</v>
      </c>
      <c r="D9" s="1">
        <v>881.24</v>
      </c>
    </row>
    <row r="10" spans="1:4" x14ac:dyDescent="0.3">
      <c r="A10" s="1" t="s">
        <v>519</v>
      </c>
      <c r="B10" s="1" t="s">
        <v>509</v>
      </c>
      <c r="C10" s="1" t="s">
        <v>10</v>
      </c>
      <c r="D10" s="1">
        <v>821.23</v>
      </c>
    </row>
    <row r="11" spans="1:4" x14ac:dyDescent="0.3">
      <c r="A11" s="1" t="s">
        <v>520</v>
      </c>
      <c r="B11" s="1" t="s">
        <v>510</v>
      </c>
      <c r="C11" s="1" t="s">
        <v>10</v>
      </c>
      <c r="D11" s="1">
        <v>930.82</v>
      </c>
    </row>
    <row r="12" spans="1:4" x14ac:dyDescent="0.3">
      <c r="A12" s="1" t="s">
        <v>521</v>
      </c>
      <c r="B12" s="1" t="s">
        <v>511</v>
      </c>
      <c r="C12" s="1" t="s">
        <v>10</v>
      </c>
      <c r="D12" s="1">
        <v>670.82</v>
      </c>
    </row>
    <row r="13" spans="1:4" x14ac:dyDescent="0.3">
      <c r="A13" s="1" t="s">
        <v>522</v>
      </c>
      <c r="B13" s="1" t="s">
        <v>532</v>
      </c>
      <c r="C13" s="1" t="s">
        <v>10</v>
      </c>
      <c r="D13" s="1">
        <v>919.11</v>
      </c>
    </row>
    <row r="14" spans="1:4" x14ac:dyDescent="0.3">
      <c r="A14" s="1" t="s">
        <v>523</v>
      </c>
      <c r="B14" s="1" t="s">
        <v>512</v>
      </c>
      <c r="C14" s="1" t="s">
        <v>10</v>
      </c>
      <c r="D14" s="1">
        <v>986.37</v>
      </c>
    </row>
    <row r="15" spans="1:4" x14ac:dyDescent="0.3">
      <c r="A15" s="1" t="s">
        <v>524</v>
      </c>
      <c r="B15" s="1" t="s">
        <v>513</v>
      </c>
      <c r="C15" s="1" t="s">
        <v>10</v>
      </c>
      <c r="D15" s="1">
        <v>1066.05</v>
      </c>
    </row>
    <row r="16" spans="1:4" x14ac:dyDescent="0.3">
      <c r="A16" s="1" t="s">
        <v>525</v>
      </c>
      <c r="B16" s="1" t="s">
        <v>514</v>
      </c>
      <c r="C16" s="1" t="s">
        <v>10</v>
      </c>
      <c r="D16" s="1">
        <v>1331.37</v>
      </c>
    </row>
    <row r="17" spans="1:4" x14ac:dyDescent="0.3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 x14ac:dyDescent="0.3">
      <c r="A18" s="1" t="s">
        <v>527</v>
      </c>
      <c r="B18" s="1" t="s">
        <v>515</v>
      </c>
      <c r="C18" s="1" t="s">
        <v>10</v>
      </c>
      <c r="D18" s="1">
        <v>878.02</v>
      </c>
    </row>
    <row r="19" spans="1:4" x14ac:dyDescent="0.3">
      <c r="A19" s="1" t="s">
        <v>528</v>
      </c>
      <c r="B19" s="1" t="s">
        <v>516</v>
      </c>
      <c r="C19" s="1" t="s">
        <v>10</v>
      </c>
      <c r="D19" s="1">
        <v>914.67</v>
      </c>
    </row>
    <row r="20" spans="1:4" x14ac:dyDescent="0.3">
      <c r="A20" s="1" t="s">
        <v>529</v>
      </c>
      <c r="B20" s="1" t="s">
        <v>517</v>
      </c>
      <c r="C20" s="1" t="s">
        <v>10</v>
      </c>
      <c r="D20" s="1">
        <v>660.36</v>
      </c>
    </row>
    <row r="21" spans="1:4" x14ac:dyDescent="0.3">
      <c r="A21" s="1" t="s">
        <v>530</v>
      </c>
      <c r="B21" s="1" t="s">
        <v>518</v>
      </c>
      <c r="C21" s="1" t="s">
        <v>10</v>
      </c>
      <c r="D21" s="1">
        <v>848.79</v>
      </c>
    </row>
    <row r="22" spans="1:4" x14ac:dyDescent="0.3">
      <c r="A22" s="1" t="s">
        <v>533</v>
      </c>
      <c r="B22" s="1" t="s">
        <v>534</v>
      </c>
      <c r="C22" s="1" t="s">
        <v>10</v>
      </c>
      <c r="D22" s="1">
        <v>1093.26</v>
      </c>
    </row>
    <row r="26" spans="1:4" x14ac:dyDescent="0.3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MQ</vt:lpstr>
      <vt:lpstr>BA</vt:lpstr>
      <vt:lpstr>k</vt:lpstr>
      <vt:lpstr>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diego lara</cp:lastModifiedBy>
  <cp:lastPrinted>2024-08-13T20:07:58Z</cp:lastPrinted>
  <dcterms:created xsi:type="dcterms:W3CDTF">2024-08-08T20:21:30Z</dcterms:created>
  <dcterms:modified xsi:type="dcterms:W3CDTF">2024-10-05T21:32:51Z</dcterms:modified>
</cp:coreProperties>
</file>