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05" yWindow="-105" windowWidth="20730" windowHeight="11760"/>
  </bookViews>
  <sheets>
    <sheet name="Hoja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3" i="1" l="1"/>
  <c r="AA10" i="1"/>
  <c r="G10" i="1"/>
  <c r="G9" i="1"/>
  <c r="E9" i="1"/>
  <c r="E10" i="1"/>
  <c r="R1" i="1"/>
  <c r="R2" i="1"/>
  <c r="AJ10" i="1" l="1"/>
  <c r="AJ9" i="1"/>
  <c r="AH10" i="1"/>
  <c r="AH11" i="1"/>
  <c r="AJ11" i="1" s="1"/>
  <c r="AH12" i="1"/>
  <c r="AJ12" i="1" s="1"/>
  <c r="AH13" i="1"/>
  <c r="AJ13" i="1" s="1"/>
  <c r="AH9" i="1"/>
  <c r="AF13" i="1"/>
  <c r="AC13" i="1"/>
  <c r="Y13" i="1"/>
  <c r="Z13" i="1" s="1"/>
  <c r="R13" i="1"/>
  <c r="T13" i="1" s="1"/>
  <c r="G13" i="1"/>
  <c r="N13" i="1" s="1"/>
  <c r="AF12" i="1"/>
  <c r="AC12" i="1"/>
  <c r="Y12" i="1"/>
  <c r="Z12" i="1" s="1"/>
  <c r="R12" i="1"/>
  <c r="T12" i="1" s="1"/>
  <c r="G12" i="1"/>
  <c r="N12" i="1" s="1"/>
  <c r="AA11" i="1"/>
  <c r="AC11" i="1" s="1"/>
  <c r="AF11" i="1"/>
  <c r="Y11" i="1"/>
  <c r="Z11" i="1" s="1"/>
  <c r="R11" i="1"/>
  <c r="T11" i="1" s="1"/>
  <c r="G11" i="1"/>
  <c r="N11" i="1" s="1"/>
  <c r="AF10" i="1"/>
  <c r="AC10" i="1"/>
  <c r="Y10" i="1"/>
  <c r="Z10" i="1" s="1"/>
  <c r="R10" i="1"/>
  <c r="T10" i="1" s="1"/>
  <c r="N10" i="1"/>
  <c r="AF9" i="1"/>
  <c r="AC9" i="1"/>
  <c r="Y9" i="1"/>
  <c r="Z9" i="1" s="1"/>
  <c r="R9" i="1"/>
  <c r="T9" i="1" s="1"/>
  <c r="L9" i="1"/>
  <c r="D11" i="1" l="1"/>
  <c r="D13" i="1"/>
  <c r="D12" i="1"/>
  <c r="I13" i="1"/>
  <c r="P13" i="1" s="1"/>
  <c r="L13" i="1"/>
  <c r="I9" i="1"/>
  <c r="P9" i="1" s="1"/>
  <c r="L12" i="1"/>
  <c r="I12" i="1"/>
  <c r="I11" i="1"/>
  <c r="L11" i="1"/>
  <c r="I10" i="1"/>
  <c r="P10" i="1" s="1"/>
  <c r="L10" i="1"/>
  <c r="N9" i="1"/>
  <c r="D9" i="1" l="1"/>
  <c r="D10" i="1"/>
  <c r="P12" i="1"/>
  <c r="P11" i="1"/>
</calcChain>
</file>

<file path=xl/sharedStrings.xml><?xml version="1.0" encoding="utf-8"?>
<sst xmlns="http://schemas.openxmlformats.org/spreadsheetml/2006/main" count="103" uniqueCount="87">
  <si>
    <t>MQVIB</t>
  </si>
  <si>
    <t>VIBRADOR DE CONCRETO</t>
  </si>
  <si>
    <t>MQREV</t>
  </si>
  <si>
    <t>REVOLVEDORA DE CONCRETO</t>
  </si>
  <si>
    <t>CLAVE</t>
  </si>
  <si>
    <t>MAQUINA</t>
  </si>
  <si>
    <t>UNIDAD</t>
  </si>
  <si>
    <t>hora</t>
  </si>
  <si>
    <t>Vm</t>
  </si>
  <si>
    <t>Valor de la máquina nueva</t>
  </si>
  <si>
    <t>Vr</t>
  </si>
  <si>
    <t>Valor de Rescate</t>
  </si>
  <si>
    <t>% Valor de Rescate</t>
  </si>
  <si>
    <t>D</t>
  </si>
  <si>
    <t>Ve</t>
  </si>
  <si>
    <t>Vida Económica</t>
  </si>
  <si>
    <t>Hea</t>
  </si>
  <si>
    <t>Horas efectivas al año</t>
  </si>
  <si>
    <t>i</t>
  </si>
  <si>
    <t>Tasa Activa anual</t>
  </si>
  <si>
    <t>Im</t>
  </si>
  <si>
    <t>Depreciación Art.196</t>
  </si>
  <si>
    <t>Inversión 
Art. 197</t>
  </si>
  <si>
    <t>s</t>
  </si>
  <si>
    <t>Prima anual del seguro</t>
  </si>
  <si>
    <t>Sm</t>
  </si>
  <si>
    <t>Seguros
Art. 198</t>
  </si>
  <si>
    <t>Ko</t>
  </si>
  <si>
    <t>Coeficiente de Mantenimiento</t>
  </si>
  <si>
    <t>Mn</t>
  </si>
  <si>
    <t>Mantenimiento Art.199</t>
  </si>
  <si>
    <t>Tipo de Combustible</t>
  </si>
  <si>
    <t>Gasolina</t>
  </si>
  <si>
    <t>$/lt</t>
  </si>
  <si>
    <t>Diesel</t>
  </si>
  <si>
    <t>PU Cpmbustible</t>
  </si>
  <si>
    <t>Consumo
Lt/Hr</t>
  </si>
  <si>
    <t>Co</t>
  </si>
  <si>
    <t>Combustible Art.201</t>
  </si>
  <si>
    <t>Otros</t>
  </si>
  <si>
    <t>Art. 202</t>
  </si>
  <si>
    <t>Ah</t>
  </si>
  <si>
    <t>Lubricantes consumidos por hora</t>
  </si>
  <si>
    <t>Capacidad del Carter</t>
  </si>
  <si>
    <t>Horas entre cambios</t>
  </si>
  <si>
    <t>Ga</t>
  </si>
  <si>
    <t>Consumo por cambio de aceite</t>
  </si>
  <si>
    <t>Lb</t>
  </si>
  <si>
    <t>Aceite</t>
  </si>
  <si>
    <t>Lubricantes Art.203</t>
  </si>
  <si>
    <t>Costo llantas</t>
  </si>
  <si>
    <t>N</t>
  </si>
  <si>
    <t>Llantas 
Art.204</t>
  </si>
  <si>
    <t>Pn</t>
  </si>
  <si>
    <t>Vn</t>
  </si>
  <si>
    <t>Vida económica Llantas</t>
  </si>
  <si>
    <t>Pa</t>
  </si>
  <si>
    <t>Va</t>
  </si>
  <si>
    <t>Valor de las piezas especiales</t>
  </si>
  <si>
    <t>Vida económica de las piezas especiales</t>
  </si>
  <si>
    <t>Po</t>
  </si>
  <si>
    <t>Piezas Especiales Art.205</t>
  </si>
  <si>
    <t>COSTO HORARIO</t>
  </si>
  <si>
    <t>MQCAM</t>
  </si>
  <si>
    <t>CAMION DE VOLTEO</t>
  </si>
  <si>
    <t>MQRET</t>
  </si>
  <si>
    <t>RETROEXCAVADORA</t>
  </si>
  <si>
    <t>COSTO HORARIO DE MAQUINARIA</t>
  </si>
  <si>
    <t>MQPIPA</t>
  </si>
  <si>
    <t>PIPA DE AGUA</t>
  </si>
  <si>
    <t>Operador</t>
  </si>
  <si>
    <t>Ayudante</t>
  </si>
  <si>
    <t>Chofer</t>
  </si>
  <si>
    <t>Chofer+Ayudante</t>
  </si>
  <si>
    <t>Operador de equipo mayor</t>
  </si>
  <si>
    <t>Operador Motoconformadora</t>
  </si>
  <si>
    <t>A</t>
  </si>
  <si>
    <t>CH</t>
  </si>
  <si>
    <t>CH+A</t>
  </si>
  <si>
    <t>OM</t>
  </si>
  <si>
    <t>OE</t>
  </si>
  <si>
    <t>Sr</t>
  </si>
  <si>
    <t>Saalario Real Operación</t>
  </si>
  <si>
    <t>Ht</t>
  </si>
  <si>
    <t xml:space="preserve">Horas efectivas </t>
  </si>
  <si>
    <t>Ae</t>
  </si>
  <si>
    <t>Operación Art.206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</si>
</sst>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64" formatCode="#,##0&quot; Hr&quot;"/>
    <numFmt numFmtId="165" formatCode="#,##0.00&quot; Lt/Hr&quot;"/>
    <numFmt numFmtId="166" formatCode="#,##0.00&quot; Lt&quot;"/>
    <numFmt numFmtId="167" formatCode="#,##0.00&quot; Hr&quot;"/>
  </numFmts>
  <fonts count="5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5">
    <xf numFmtId="0" fontId="0" fillId="0" borderId="0" xfId="0"/>
    <xf numFmtId="43" fontId="0" fillId="0" borderId="0" xfId="1" applyFont="1"/>
    <xf numFmtId="9" fontId="0" fillId="0" borderId="0" xfId="2" applyFont="1"/>
    <xf numFmtId="43" fontId="0" fillId="0" borderId="0" xfId="1" applyFont="1" applyAlignment="1">
      <alignment vertical="center"/>
    </xf>
    <xf numFmtId="43" fontId="0" fillId="0" borderId="0" xfId="1" applyFont="1" applyAlignment="1">
      <alignment horizontal="center"/>
    </xf>
    <xf numFmtId="164" fontId="0" fillId="0" borderId="0" xfId="1" applyNumberFormat="1" applyFont="1"/>
    <xf numFmtId="10" fontId="0" fillId="0" borderId="0" xfId="1" applyNumberFormat="1" applyFont="1"/>
    <xf numFmtId="43" fontId="2" fillId="0" borderId="0" xfId="1" applyFont="1"/>
    <xf numFmtId="165" fontId="0" fillId="0" borderId="0" xfId="1" applyNumberFormat="1" applyFont="1"/>
    <xf numFmtId="166" fontId="0" fillId="0" borderId="0" xfId="1" applyNumberFormat="1" applyFont="1"/>
    <xf numFmtId="43" fontId="0" fillId="0" borderId="1" xfId="1" applyFont="1" applyBorder="1"/>
    <xf numFmtId="43" fontId="0" fillId="0" borderId="1" xfId="1" applyFont="1" applyBorder="1" applyAlignment="1">
      <alignment horizontal="center"/>
    </xf>
    <xf numFmtId="43" fontId="2" fillId="0" borderId="1" xfId="1" applyFont="1" applyBorder="1" applyAlignment="1">
      <alignment horizontal="center"/>
    </xf>
    <xf numFmtId="43" fontId="0" fillId="0" borderId="2" xfId="1" applyFont="1" applyBorder="1" applyAlignment="1">
      <alignment vertical="center"/>
    </xf>
    <xf numFmtId="43" fontId="3" fillId="0" borderId="2" xfId="1" applyFont="1" applyBorder="1" applyAlignment="1">
      <alignment horizontal="center" vertical="center" wrapText="1"/>
    </xf>
    <xf numFmtId="43" fontId="4" fillId="0" borderId="2" xfId="1" applyFont="1" applyBorder="1" applyAlignment="1">
      <alignment horizontal="center" vertical="center" wrapText="1"/>
    </xf>
    <xf numFmtId="43" fontId="2" fillId="0" borderId="2" xfId="1" applyFont="1" applyBorder="1" applyAlignment="1">
      <alignment vertical="center" wrapText="1"/>
    </xf>
    <xf numFmtId="43" fontId="0" fillId="2" borderId="0" xfId="1" applyFont="1" applyFill="1"/>
    <xf numFmtId="9" fontId="0" fillId="2" borderId="0" xfId="2" applyFont="1" applyFill="1"/>
    <xf numFmtId="164" fontId="0" fillId="2" borderId="0" xfId="1" applyNumberFormat="1" applyFont="1" applyFill="1"/>
    <xf numFmtId="10" fontId="0" fillId="2" borderId="0" xfId="1" applyNumberFormat="1" applyFont="1" applyFill="1"/>
    <xf numFmtId="165" fontId="0" fillId="2" borderId="0" xfId="1" applyNumberFormat="1" applyFont="1" applyFill="1"/>
    <xf numFmtId="166" fontId="0" fillId="2" borderId="0" xfId="1" applyNumberFormat="1" applyFont="1" applyFill="1"/>
    <xf numFmtId="167" fontId="0" fillId="0" borderId="0" xfId="1" applyNumberFormat="1" applyFont="1"/>
    <xf numFmtId="167" fontId="0" fillId="2" borderId="0" xfId="1" applyNumberFormat="1" applyFont="1" applyFill="1"/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83820</xdr:colOff>
      <xdr:row>0</xdr:row>
      <xdr:rowOff>0</xdr:rowOff>
    </xdr:from>
    <xdr:to>
      <xdr:col>1</xdr:col>
      <xdr:colOff>624840</xdr:colOff>
      <xdr:row>3</xdr:row>
      <xdr:rowOff>134912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60F0EF5B-8485-4151-B23A-008ADB6335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820" y="0"/>
          <a:ext cx="1394460" cy="6606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xmlns="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3"/>
  <sheetViews>
    <sheetView tabSelected="1" workbookViewId="0">
      <selection activeCell="A13" sqref="A13"/>
    </sheetView>
  </sheetViews>
  <sheetFormatPr baseColWidth="10" defaultColWidth="11.25" defaultRowHeight="14.25"/>
  <cols>
    <col min="1" max="1" width="11.25" style="1"/>
    <col min="2" max="2" width="24.125" style="1" bestFit="1" customWidth="1"/>
    <col min="3" max="4" width="11.25" style="1"/>
    <col min="5" max="5" width="12.625" style="1" bestFit="1" customWidth="1"/>
    <col min="6" max="16384" width="11.25" style="1"/>
  </cols>
  <sheetData>
    <row r="1" spans="1:36">
      <c r="Q1" s="1" t="s">
        <v>32</v>
      </c>
      <c r="R1" s="17">
        <f>25/1.16</f>
        <v>21.551724137931036</v>
      </c>
      <c r="S1" s="1" t="s">
        <v>33</v>
      </c>
      <c r="Y1" s="1" t="s">
        <v>48</v>
      </c>
      <c r="Z1" s="17">
        <v>55</v>
      </c>
      <c r="AA1" s="1" t="s">
        <v>33</v>
      </c>
      <c r="AF1" s="4" t="s">
        <v>76</v>
      </c>
      <c r="AG1" s="1" t="s">
        <v>71</v>
      </c>
      <c r="AI1" s="17">
        <v>668.33</v>
      </c>
    </row>
    <row r="2" spans="1:36" ht="15">
      <c r="D2" s="7" t="s">
        <v>67</v>
      </c>
      <c r="Q2" s="1" t="s">
        <v>34</v>
      </c>
      <c r="R2" s="17">
        <f>26.19/1.16</f>
        <v>22.577586206896555</v>
      </c>
      <c r="S2" s="1" t="s">
        <v>33</v>
      </c>
      <c r="AF2" s="4" t="s">
        <v>77</v>
      </c>
      <c r="AG2" s="1" t="s">
        <v>72</v>
      </c>
      <c r="AI2" s="17">
        <v>821.23</v>
      </c>
    </row>
    <row r="3" spans="1:36" ht="15">
      <c r="B3" s="7"/>
      <c r="R3" s="17"/>
      <c r="AF3" s="4" t="s">
        <v>78</v>
      </c>
      <c r="AG3" s="1" t="s">
        <v>73</v>
      </c>
      <c r="AI3" s="17">
        <f>AI1+AI2</f>
        <v>1489.56</v>
      </c>
    </row>
    <row r="4" spans="1:36" ht="15">
      <c r="B4" s="7"/>
      <c r="R4" s="17"/>
      <c r="AF4" s="4" t="s">
        <v>80</v>
      </c>
      <c r="AG4" s="1" t="s">
        <v>74</v>
      </c>
      <c r="AI4" s="17">
        <v>1075.6300000000001</v>
      </c>
    </row>
    <row r="5" spans="1:36" ht="15">
      <c r="B5" s="7"/>
      <c r="R5" s="17"/>
      <c r="AF5" s="4" t="s">
        <v>79</v>
      </c>
      <c r="AG5" s="1" t="s">
        <v>75</v>
      </c>
      <c r="AI5" s="17">
        <v>1214.53</v>
      </c>
    </row>
    <row r="7" spans="1:36" ht="15">
      <c r="A7" s="10"/>
      <c r="B7" s="10"/>
      <c r="C7" s="10"/>
      <c r="D7" s="10"/>
      <c r="E7" s="11" t="s">
        <v>8</v>
      </c>
      <c r="F7" s="11"/>
      <c r="G7" s="11" t="s">
        <v>10</v>
      </c>
      <c r="H7" s="11" t="s">
        <v>14</v>
      </c>
      <c r="I7" s="12" t="s">
        <v>13</v>
      </c>
      <c r="J7" s="11" t="s">
        <v>16</v>
      </c>
      <c r="K7" s="11" t="s">
        <v>18</v>
      </c>
      <c r="L7" s="12" t="s">
        <v>20</v>
      </c>
      <c r="M7" s="11" t="s">
        <v>23</v>
      </c>
      <c r="N7" s="12" t="s">
        <v>25</v>
      </c>
      <c r="O7" s="11" t="s">
        <v>27</v>
      </c>
      <c r="P7" s="12" t="s">
        <v>29</v>
      </c>
      <c r="Q7" s="11"/>
      <c r="R7" s="11"/>
      <c r="S7" s="10"/>
      <c r="T7" s="12" t="s">
        <v>37</v>
      </c>
      <c r="U7" s="12" t="s">
        <v>39</v>
      </c>
      <c r="V7" s="11" t="s">
        <v>41</v>
      </c>
      <c r="W7" s="11"/>
      <c r="X7" s="11"/>
      <c r="Y7" s="11" t="s">
        <v>45</v>
      </c>
      <c r="Z7" s="12" t="s">
        <v>47</v>
      </c>
      <c r="AA7" s="11" t="s">
        <v>53</v>
      </c>
      <c r="AB7" s="11" t="s">
        <v>54</v>
      </c>
      <c r="AC7" s="12" t="s">
        <v>51</v>
      </c>
      <c r="AD7" s="11" t="s">
        <v>56</v>
      </c>
      <c r="AE7" s="11" t="s">
        <v>57</v>
      </c>
      <c r="AF7" s="12" t="s">
        <v>85</v>
      </c>
      <c r="AG7" s="11"/>
      <c r="AH7" s="11" t="s">
        <v>81</v>
      </c>
      <c r="AI7" s="11" t="s">
        <v>83</v>
      </c>
      <c r="AJ7" s="12" t="s">
        <v>60</v>
      </c>
    </row>
    <row r="8" spans="1:36" s="3" customFormat="1" ht="48.75" thickBot="1">
      <c r="A8" s="13" t="s">
        <v>4</v>
      </c>
      <c r="B8" s="13" t="s">
        <v>5</v>
      </c>
      <c r="C8" s="13" t="s">
        <v>6</v>
      </c>
      <c r="D8" s="16" t="s">
        <v>62</v>
      </c>
      <c r="E8" s="14" t="s">
        <v>9</v>
      </c>
      <c r="F8" s="14" t="s">
        <v>12</v>
      </c>
      <c r="G8" s="14" t="s">
        <v>11</v>
      </c>
      <c r="H8" s="14" t="s">
        <v>15</v>
      </c>
      <c r="I8" s="15" t="s">
        <v>21</v>
      </c>
      <c r="J8" s="14" t="s">
        <v>17</v>
      </c>
      <c r="K8" s="14" t="s">
        <v>19</v>
      </c>
      <c r="L8" s="15" t="s">
        <v>22</v>
      </c>
      <c r="M8" s="14" t="s">
        <v>24</v>
      </c>
      <c r="N8" s="15" t="s">
        <v>26</v>
      </c>
      <c r="O8" s="14" t="s">
        <v>28</v>
      </c>
      <c r="P8" s="15" t="s">
        <v>30</v>
      </c>
      <c r="Q8" s="14" t="s">
        <v>31</v>
      </c>
      <c r="R8" s="14" t="s">
        <v>35</v>
      </c>
      <c r="S8" s="14" t="s">
        <v>36</v>
      </c>
      <c r="T8" s="15" t="s">
        <v>38</v>
      </c>
      <c r="U8" s="15" t="s">
        <v>40</v>
      </c>
      <c r="V8" s="14" t="s">
        <v>42</v>
      </c>
      <c r="W8" s="14" t="s">
        <v>43</v>
      </c>
      <c r="X8" s="14" t="s">
        <v>44</v>
      </c>
      <c r="Y8" s="14" t="s">
        <v>46</v>
      </c>
      <c r="Z8" s="15" t="s">
        <v>49</v>
      </c>
      <c r="AA8" s="14" t="s">
        <v>50</v>
      </c>
      <c r="AB8" s="14" t="s">
        <v>55</v>
      </c>
      <c r="AC8" s="15" t="s">
        <v>52</v>
      </c>
      <c r="AD8" s="14" t="s">
        <v>58</v>
      </c>
      <c r="AE8" s="14" t="s">
        <v>59</v>
      </c>
      <c r="AF8" s="15" t="s">
        <v>61</v>
      </c>
      <c r="AG8" s="14" t="s">
        <v>70</v>
      </c>
      <c r="AH8" s="14" t="s">
        <v>82</v>
      </c>
      <c r="AI8" s="14" t="s">
        <v>84</v>
      </c>
      <c r="AJ8" s="15" t="s">
        <v>86</v>
      </c>
    </row>
    <row r="9" spans="1:36" ht="15">
      <c r="A9" s="1" t="s">
        <v>0</v>
      </c>
      <c r="B9" s="1" t="s">
        <v>1</v>
      </c>
      <c r="C9" s="1" t="s">
        <v>7</v>
      </c>
      <c r="D9" s="7">
        <f t="shared" ref="D9:D12" si="0">I9+L9+N9+P9+T9+U9+Z9+AC9+AF9+AJ9</f>
        <v>14.174676724137932</v>
      </c>
      <c r="E9" s="17">
        <f>8300/1.16</f>
        <v>7155.1724137931042</v>
      </c>
      <c r="F9" s="18">
        <v>0.1</v>
      </c>
      <c r="G9" s="17">
        <f>E9*F9</f>
        <v>715.51724137931046</v>
      </c>
      <c r="H9" s="19">
        <v>10000</v>
      </c>
      <c r="I9" s="7">
        <f>(E9-G9)/H9</f>
        <v>0.64396551724137929</v>
      </c>
      <c r="J9" s="19">
        <v>2000</v>
      </c>
      <c r="K9" s="20">
        <v>0.15740000000000001</v>
      </c>
      <c r="L9" s="7">
        <f>(E9+G9)/2/J9</f>
        <v>1.9676724137931036</v>
      </c>
      <c r="M9" s="6">
        <v>0.05</v>
      </c>
      <c r="N9" s="7">
        <f>(E9+G9)*M9/2/J9</f>
        <v>9.8383620689655185E-2</v>
      </c>
      <c r="O9" s="1">
        <v>1</v>
      </c>
      <c r="P9" s="7">
        <f>O9*I9</f>
        <v>0.64396551724137929</v>
      </c>
      <c r="Q9" s="4" t="s">
        <v>32</v>
      </c>
      <c r="R9" s="1">
        <f>VLOOKUP(Q9,$Q$1:$R$2,2,0)</f>
        <v>21.551724137931036</v>
      </c>
      <c r="S9" s="17">
        <v>0.4</v>
      </c>
      <c r="T9" s="7">
        <f>R9*S9</f>
        <v>8.6206896551724146</v>
      </c>
      <c r="U9" s="7">
        <v>0</v>
      </c>
      <c r="V9" s="21">
        <v>0.04</v>
      </c>
      <c r="W9" s="22">
        <v>0</v>
      </c>
      <c r="X9" s="19">
        <v>1</v>
      </c>
      <c r="Y9" s="9">
        <f>W9/X9</f>
        <v>0</v>
      </c>
      <c r="Z9" s="7">
        <f>(V9+Y9)*$Z$1</f>
        <v>2.2000000000000002</v>
      </c>
      <c r="AA9" s="17">
        <v>0</v>
      </c>
      <c r="AB9" s="19">
        <v>0</v>
      </c>
      <c r="AC9" s="7">
        <f>IF(AB9&lt;&gt;0,AA9/AB9,0)</f>
        <v>0</v>
      </c>
      <c r="AD9" s="1">
        <v>0</v>
      </c>
      <c r="AE9" s="5">
        <v>0</v>
      </c>
      <c r="AF9" s="7">
        <f>IF(AE9&lt;&gt;0,AD9/AE9,0)</f>
        <v>0</v>
      </c>
      <c r="AG9" s="4" t="s">
        <v>76</v>
      </c>
      <c r="AH9" s="1">
        <f>VLOOKUP(AG9,$AF$1:$AI$5,4,0)</f>
        <v>668.33</v>
      </c>
      <c r="AI9" s="24"/>
      <c r="AJ9" s="7">
        <f>IF(AI9=0,0,AH9/AI9)</f>
        <v>0</v>
      </c>
    </row>
    <row r="10" spans="1:36" ht="15">
      <c r="A10" s="1" t="s">
        <v>2</v>
      </c>
      <c r="B10" s="1" t="s">
        <v>3</v>
      </c>
      <c r="C10" s="1" t="s">
        <v>7</v>
      </c>
      <c r="D10" s="7">
        <f t="shared" si="0"/>
        <v>52.995948275862069</v>
      </c>
      <c r="E10" s="17">
        <f>30000/1.16</f>
        <v>25862.068965517243</v>
      </c>
      <c r="F10" s="18">
        <v>0.1</v>
      </c>
      <c r="G10" s="17">
        <f>E10*F10</f>
        <v>2586.2068965517246</v>
      </c>
      <c r="H10" s="19">
        <v>10000</v>
      </c>
      <c r="I10" s="7">
        <f>(E10-G10)/H10</f>
        <v>2.3275862068965516</v>
      </c>
      <c r="J10" s="19">
        <v>2000</v>
      </c>
      <c r="K10" s="20">
        <v>0.15740000000000001</v>
      </c>
      <c r="L10" s="7">
        <f>(E10+G10)/2/J10</f>
        <v>7.112068965517242</v>
      </c>
      <c r="M10" s="6">
        <v>0.05</v>
      </c>
      <c r="N10" s="7">
        <f>(E10+G10)*M10/2/J10</f>
        <v>0.3556034482758621</v>
      </c>
      <c r="O10" s="1">
        <v>1</v>
      </c>
      <c r="P10" s="7">
        <f>O10*I10</f>
        <v>2.3275862068965516</v>
      </c>
      <c r="Q10" s="4" t="s">
        <v>32</v>
      </c>
      <c r="R10" s="1">
        <f>VLOOKUP(Q10,$Q$1:$R$2,2,0)</f>
        <v>21.551724137931036</v>
      </c>
      <c r="S10" s="17">
        <v>1.5</v>
      </c>
      <c r="T10" s="7">
        <f>R10*S10</f>
        <v>32.327586206896555</v>
      </c>
      <c r="U10" s="7">
        <v>0</v>
      </c>
      <c r="V10" s="21">
        <v>0.15</v>
      </c>
      <c r="W10" s="22">
        <v>0</v>
      </c>
      <c r="X10" s="19">
        <v>1</v>
      </c>
      <c r="Y10" s="9">
        <f>W10/X10</f>
        <v>0</v>
      </c>
      <c r="Z10" s="7">
        <f t="shared" ref="Z10:Z11" si="1">(V10+Y10)*$Z$1</f>
        <v>8.25</v>
      </c>
      <c r="AA10" s="17">
        <f>(857*2)/1.16</f>
        <v>1477.5862068965519</v>
      </c>
      <c r="AB10" s="19">
        <v>5000</v>
      </c>
      <c r="AC10" s="7">
        <f>IF(AB10&lt;&gt;0,AA10/AB10,0)</f>
        <v>0.29551724137931035</v>
      </c>
      <c r="AD10" s="1">
        <v>0</v>
      </c>
      <c r="AE10" s="5">
        <v>0</v>
      </c>
      <c r="AF10" s="7">
        <f>IF(AE10&lt;&gt;0,AD10/AE10,0)</f>
        <v>0</v>
      </c>
      <c r="AG10" s="4" t="s">
        <v>76</v>
      </c>
      <c r="AH10" s="1">
        <f t="shared" ref="AH10:AH13" si="2">VLOOKUP(AG10,$AF$1:$AI$5,4,0)</f>
        <v>668.33</v>
      </c>
      <c r="AI10" s="24"/>
      <c r="AJ10" s="7">
        <f t="shared" ref="AJ10:AJ13" si="3">IF(AI10=0,0,AH10/AI10)</f>
        <v>0</v>
      </c>
    </row>
    <row r="11" spans="1:36" ht="15">
      <c r="A11" s="1" t="s">
        <v>63</v>
      </c>
      <c r="B11" s="1" t="s">
        <v>64</v>
      </c>
      <c r="C11" s="1" t="s">
        <v>7</v>
      </c>
      <c r="D11" s="7">
        <f t="shared" si="0"/>
        <v>872.97443965517255</v>
      </c>
      <c r="E11" s="1">
        <v>1200000</v>
      </c>
      <c r="F11" s="2">
        <v>0.2</v>
      </c>
      <c r="G11" s="1">
        <f>E11*F11</f>
        <v>240000</v>
      </c>
      <c r="H11" s="5">
        <v>10000</v>
      </c>
      <c r="I11" s="7">
        <f>(E11-G11)/H11</f>
        <v>96</v>
      </c>
      <c r="J11" s="5">
        <v>2000</v>
      </c>
      <c r="K11" s="20">
        <v>0.15740000000000001</v>
      </c>
      <c r="L11" s="7">
        <f>(E11+G11)/2/J11</f>
        <v>360</v>
      </c>
      <c r="M11" s="6">
        <v>0.05</v>
      </c>
      <c r="N11" s="7">
        <f>(E11+G11)*M11/2/J11</f>
        <v>18</v>
      </c>
      <c r="O11" s="1">
        <v>0.5</v>
      </c>
      <c r="P11" s="7">
        <f>O11*I11</f>
        <v>48</v>
      </c>
      <c r="Q11" s="4" t="s">
        <v>34</v>
      </c>
      <c r="R11" s="1">
        <f>VLOOKUP(Q11,$Q$1:$R$2,2,0)</f>
        <v>22.577586206896555</v>
      </c>
      <c r="S11" s="1">
        <v>8</v>
      </c>
      <c r="T11" s="7">
        <f>R11*S11</f>
        <v>180.62068965517244</v>
      </c>
      <c r="U11" s="7">
        <v>0</v>
      </c>
      <c r="V11" s="8">
        <v>0.1</v>
      </c>
      <c r="W11" s="9">
        <v>8</v>
      </c>
      <c r="X11" s="5">
        <v>200</v>
      </c>
      <c r="Y11" s="9">
        <f>W11/X11</f>
        <v>0.04</v>
      </c>
      <c r="Z11" s="7">
        <f t="shared" si="1"/>
        <v>7.7000000000000011</v>
      </c>
      <c r="AA11" s="1">
        <f>6000*10</f>
        <v>60000</v>
      </c>
      <c r="AB11" s="5">
        <v>1000</v>
      </c>
      <c r="AC11" s="7">
        <f>IF(AB11&lt;&gt;0,AA11/AB11,0)</f>
        <v>60</v>
      </c>
      <c r="AD11" s="1">
        <v>0</v>
      </c>
      <c r="AE11" s="5">
        <v>0</v>
      </c>
      <c r="AF11" s="7">
        <f>IF(AE11&lt;&gt;0,AD11/AE11,0)</f>
        <v>0</v>
      </c>
      <c r="AG11" s="4" t="s">
        <v>77</v>
      </c>
      <c r="AH11" s="1">
        <f t="shared" si="2"/>
        <v>821.23</v>
      </c>
      <c r="AI11" s="23">
        <v>8</v>
      </c>
      <c r="AJ11" s="7">
        <f t="shared" si="3"/>
        <v>102.65375</v>
      </c>
    </row>
    <row r="12" spans="1:36" ht="15">
      <c r="A12" s="1" t="s">
        <v>65</v>
      </c>
      <c r="B12" s="1" t="s">
        <v>66</v>
      </c>
      <c r="C12" s="1" t="s">
        <v>7</v>
      </c>
      <c r="D12" s="7">
        <f t="shared" si="0"/>
        <v>991.2744396551725</v>
      </c>
      <c r="E12" s="1">
        <v>1500000</v>
      </c>
      <c r="F12" s="2">
        <v>0.2</v>
      </c>
      <c r="G12" s="1">
        <f>E12*F12</f>
        <v>300000</v>
      </c>
      <c r="H12" s="5">
        <v>10000</v>
      </c>
      <c r="I12" s="7">
        <f>(E12-G12)/H12</f>
        <v>120</v>
      </c>
      <c r="J12" s="5">
        <v>2000</v>
      </c>
      <c r="K12" s="20">
        <v>0.15740000000000001</v>
      </c>
      <c r="L12" s="7">
        <f>(E12+G12)/2/J12</f>
        <v>450</v>
      </c>
      <c r="M12" s="6">
        <v>0.05</v>
      </c>
      <c r="N12" s="7">
        <f>(E12+G12)*M12/2/J12</f>
        <v>22.5</v>
      </c>
      <c r="O12" s="1">
        <v>0.3</v>
      </c>
      <c r="P12" s="7">
        <f>O12*I12</f>
        <v>36</v>
      </c>
      <c r="Q12" s="4" t="s">
        <v>34</v>
      </c>
      <c r="R12" s="1">
        <f>VLOOKUP(Q12,$Q$1:$R$2,2,0)</f>
        <v>22.577586206896555</v>
      </c>
      <c r="S12" s="1">
        <v>8</v>
      </c>
      <c r="T12" s="7">
        <f>R12*S12</f>
        <v>180.62068965517244</v>
      </c>
      <c r="U12" s="7">
        <v>0</v>
      </c>
      <c r="V12" s="8">
        <v>0.1</v>
      </c>
      <c r="W12" s="9">
        <v>8</v>
      </c>
      <c r="X12" s="5">
        <v>200</v>
      </c>
      <c r="Y12" s="9">
        <f>W12/X12</f>
        <v>0.04</v>
      </c>
      <c r="Z12" s="7">
        <f t="shared" ref="Z12" si="4">(V12+Y12)*$Z$1</f>
        <v>7.7000000000000011</v>
      </c>
      <c r="AA12" s="1">
        <v>30000</v>
      </c>
      <c r="AB12" s="5">
        <v>1000</v>
      </c>
      <c r="AC12" s="7">
        <f>IF(AB12&lt;&gt;0,AA12/AB12,0)</f>
        <v>30</v>
      </c>
      <c r="AD12" s="1">
        <v>5000</v>
      </c>
      <c r="AE12" s="5">
        <v>500</v>
      </c>
      <c r="AF12" s="7">
        <f>IF(AE12&lt;&gt;0,AD12/AE12,0)</f>
        <v>10</v>
      </c>
      <c r="AG12" s="4" t="s">
        <v>80</v>
      </c>
      <c r="AH12" s="1">
        <f t="shared" si="2"/>
        <v>1075.6300000000001</v>
      </c>
      <c r="AI12" s="23">
        <v>8</v>
      </c>
      <c r="AJ12" s="7">
        <f t="shared" si="3"/>
        <v>134.45375000000001</v>
      </c>
    </row>
    <row r="13" spans="1:36" ht="15">
      <c r="A13" s="1" t="s">
        <v>68</v>
      </c>
      <c r="B13" s="1" t="s">
        <v>69</v>
      </c>
      <c r="C13" s="1" t="s">
        <v>7</v>
      </c>
      <c r="D13" s="7">
        <f>I13+L13+N13+P13+T13+U13+Z13+AC13+AF13+AJ13</f>
        <v>1146.9806896551725</v>
      </c>
      <c r="E13" s="1">
        <v>1600000</v>
      </c>
      <c r="F13" s="2">
        <v>0.2</v>
      </c>
      <c r="G13" s="1">
        <f>E13*F13</f>
        <v>320000</v>
      </c>
      <c r="H13" s="5">
        <v>10000</v>
      </c>
      <c r="I13" s="7">
        <f>(E13-G13)/H13</f>
        <v>128</v>
      </c>
      <c r="J13" s="5">
        <v>2000</v>
      </c>
      <c r="K13" s="20">
        <v>0.15740000000000001</v>
      </c>
      <c r="L13" s="7">
        <f>(E13+G13)/2/J13</f>
        <v>480</v>
      </c>
      <c r="M13" s="6">
        <v>0.05</v>
      </c>
      <c r="N13" s="7">
        <f>(E13+G13)*M13/2/J13</f>
        <v>24</v>
      </c>
      <c r="O13" s="1">
        <v>0.3</v>
      </c>
      <c r="P13" s="7">
        <f>O13*I13</f>
        <v>38.4</v>
      </c>
      <c r="Q13" s="4" t="s">
        <v>34</v>
      </c>
      <c r="R13" s="1">
        <f>VLOOKUP(Q13,$Q$1:$R$2,2,0)</f>
        <v>22.577586206896555</v>
      </c>
      <c r="S13" s="1">
        <v>8</v>
      </c>
      <c r="T13" s="7">
        <f>R13*S13</f>
        <v>180.62068965517244</v>
      </c>
      <c r="U13" s="7">
        <v>0</v>
      </c>
      <c r="V13" s="8">
        <v>0.1</v>
      </c>
      <c r="W13" s="9">
        <v>8</v>
      </c>
      <c r="X13" s="5">
        <v>200</v>
      </c>
      <c r="Y13" s="9">
        <f>W13/X13</f>
        <v>0.04</v>
      </c>
      <c r="Z13" s="7">
        <f t="shared" ref="Z13" si="5">(V13+Y13)*$Z$1</f>
        <v>7.7000000000000011</v>
      </c>
      <c r="AA13" s="1">
        <v>30000</v>
      </c>
      <c r="AB13" s="5">
        <v>1000</v>
      </c>
      <c r="AC13" s="7">
        <f>IF(AB13&lt;&gt;0,AA13/AB13,0)</f>
        <v>30</v>
      </c>
      <c r="AD13" s="1">
        <v>5000</v>
      </c>
      <c r="AE13" s="5">
        <v>500</v>
      </c>
      <c r="AF13" s="7">
        <f>IF(AE13&lt;&gt;0,AD13/AE13,0)</f>
        <v>10</v>
      </c>
      <c r="AG13" s="4" t="s">
        <v>78</v>
      </c>
      <c r="AH13" s="1">
        <f t="shared" si="2"/>
        <v>1489.56</v>
      </c>
      <c r="AI13" s="23">
        <v>6</v>
      </c>
      <c r="AJ13" s="7">
        <f t="shared" si="3"/>
        <v>248.26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Raul Fernandez</dc:creator>
  <cp:lastModifiedBy>Usuario de Windows</cp:lastModifiedBy>
  <dcterms:created xsi:type="dcterms:W3CDTF">2024-09-16T22:41:39Z</dcterms:created>
  <dcterms:modified xsi:type="dcterms:W3CDTF">2024-10-05T15:53:58Z</dcterms:modified>
</cp:coreProperties>
</file>