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ciamiento" sheetId="1" r:id="rId4"/>
  </sheets>
  <definedNames/>
  <calcPr/>
</workbook>
</file>

<file path=xl/sharedStrings.xml><?xml version="1.0" encoding="utf-8"?>
<sst xmlns="http://schemas.openxmlformats.org/spreadsheetml/2006/main" count="38" uniqueCount="37">
  <si>
    <t>CONTRATISTA:</t>
  </si>
  <si>
    <t>NOMBRE DE LA OBRA:</t>
  </si>
  <si>
    <t xml:space="preserve">TOTAL COSTO DIRECTO + COSTO INDIRECTO </t>
  </si>
  <si>
    <t>INDIRECTO TOTAL:</t>
  </si>
  <si>
    <t>INVITACION No. H20-H27-CONSV-02/04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</si>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</sst>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[$$-80A]#,##0.00"/>
    <numFmt numFmtId="170" formatCode="_-&quot;$&quot;* #,##0.00_-;\-&quot;$&quot;* #,##0.00_-;_-&quot;$&quot;* &quot;-&quot;??_-;_-@"/>
  </numFmts>
  <fonts count="9">
    <font>
      <sz val="11.0"/>
      <color rgb="FF000000"/>
      <name val="Arial"/>
      <scheme val="minor"/>
    </font>
    <font>
      <sz val="8.0"/>
      <name val="Tahoma"/>
    </font>
    <font>
      <b/>
      <sz val="8.0"/>
      <name val="Tahoma"/>
    </font>
    <font>
      <b/>
      <sz val="8.0"/>
      <color rgb="FF0000FF"/>
      <name val="Arial Narrow"/>
    </font>
    <font>
      <sz val="8.0"/>
      <name val="Arial Narrow"/>
    </font>
    <font/>
    <font>
      <sz val="8.0"/>
      <color rgb="FF0000FF"/>
      <name val="Arial Narrow"/>
    </font>
    <font>
      <b/>
      <sz val="8.0"/>
      <name val="Arial"/>
    </font>
    <font>
      <sz val="8.0"/>
      <color rgb="FF0000FF"/>
      <name val="Tahoma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4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medium">
        <color rgb="FF000000"/>
      </right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1" numFmtId="164" xfId="0" applyAlignment="1" applyFont="1" applyNumberFormat="1">
      <alignment horizontal="center"/>
    </xf>
    <xf quotePrefix="1" borderId="1" fillId="0" fontId="2" numFmtId="164" xfId="0" applyAlignment="1" applyBorder="1" applyFont="1" applyNumberFormat="1">
      <alignment horizontal="right" vertical="center"/>
    </xf>
    <xf borderId="2" fillId="0" fontId="3" numFmtId="164" xfId="0" applyAlignment="1" applyBorder="1" applyFont="1" applyNumberFormat="1">
      <alignment horizontal="center" shrinkToFit="0" vertical="center" wrapText="1"/>
    </xf>
    <xf borderId="2" fillId="0" fontId="4" numFmtId="164" xfId="0" applyAlignment="1" applyBorder="1" applyFont="1" applyNumberFormat="1">
      <alignment horizontal="center" shrinkToFit="0" vertical="center" wrapText="1"/>
    </xf>
    <xf borderId="2" fillId="0" fontId="4" numFmtId="165" xfId="0" applyAlignment="1" applyBorder="1" applyFont="1" applyNumberFormat="1">
      <alignment horizontal="center" shrinkToFit="0" vertical="center" wrapText="1"/>
    </xf>
    <xf borderId="3" fillId="0" fontId="2" numFmtId="164" xfId="0" applyAlignment="1" applyBorder="1" applyFont="1" applyNumberFormat="1">
      <alignment horizontal="left" vertical="center"/>
    </xf>
    <xf borderId="4" fillId="0" fontId="3" numFmtId="164" xfId="0" applyAlignment="1" applyBorder="1" applyFont="1" applyNumberForma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0" fillId="0" fontId="1" numFmtId="164" xfId="0" applyAlignment="1" applyFont="1" applyNumberFormat="1">
      <alignment vertical="center"/>
    </xf>
    <xf quotePrefix="1" borderId="5" fillId="0" fontId="2" numFmtId="164" xfId="0" applyAlignment="1" applyBorder="1" applyFont="1" applyNumberFormat="1">
      <alignment horizontal="right" vertical="center"/>
    </xf>
    <xf borderId="6" fillId="0" fontId="3" numFmtId="164" xfId="0" applyAlignment="1" applyBorder="1" applyFont="1" applyNumberFormat="1">
      <alignment horizontal="center" shrinkToFit="0" vertical="center" wrapText="1"/>
    </xf>
    <xf borderId="6" fillId="0" fontId="4" numFmtId="164" xfId="0" applyAlignment="1" applyBorder="1" applyFont="1" applyNumberFormat="1">
      <alignment horizontal="center" shrinkToFit="0" vertical="center" wrapText="1"/>
    </xf>
    <xf borderId="0" fillId="0" fontId="4" numFmtId="164" xfId="0" applyAlignment="1" applyFont="1" applyNumberFormat="1">
      <alignment horizontal="center" shrinkToFit="0" vertical="center" wrapText="1"/>
    </xf>
    <xf borderId="0" fillId="0" fontId="2" numFmtId="164" xfId="0" applyAlignment="1" applyFont="1" applyNumberFormat="1">
      <alignment horizontal="right" vertical="center"/>
    </xf>
    <xf borderId="7" fillId="0" fontId="3" numFmtId="166" xfId="0" applyAlignment="1" applyBorder="1" applyFont="1" applyNumberFormat="1">
      <alignment horizontal="center" shrinkToFit="0" vertical="center" wrapText="1"/>
    </xf>
    <xf borderId="8" fillId="0" fontId="5" numFmtId="0" xfId="0" applyBorder="1" applyFont="1"/>
    <xf borderId="9" fillId="0" fontId="5" numFmtId="0" xfId="0" applyBorder="1" applyFont="1"/>
    <xf borderId="1" fillId="0" fontId="1" numFmtId="164" xfId="0" applyBorder="1" applyFont="1" applyNumberFormat="1"/>
    <xf borderId="10" fillId="0" fontId="1" numFmtId="164" xfId="0" applyBorder="1" applyFont="1" applyNumberFormat="1"/>
    <xf borderId="10" fillId="0" fontId="1" numFmtId="164" xfId="0" applyAlignment="1" applyBorder="1" applyFont="1" applyNumberFormat="1">
      <alignment horizontal="center"/>
    </xf>
    <xf borderId="11" fillId="0" fontId="1" numFmtId="164" xfId="0" applyBorder="1" applyFont="1" applyNumberFormat="1"/>
    <xf borderId="5" fillId="0" fontId="2" numFmtId="164" xfId="0" applyAlignment="1" applyBorder="1" applyFont="1" applyNumberFormat="1">
      <alignment horizontal="left"/>
    </xf>
    <xf borderId="0" fillId="0" fontId="2" numFmtId="164" xfId="0" applyAlignment="1" applyFont="1" applyNumberFormat="1">
      <alignment horizontal="left"/>
    </xf>
    <xf borderId="0" fillId="0" fontId="4" numFmtId="164" xfId="0" applyAlignment="1" applyFont="1" applyNumberFormat="1">
      <alignment horizontal="right" vertical="center"/>
    </xf>
    <xf borderId="0" fillId="0" fontId="2" numFmtId="164" xfId="0" applyFont="1" applyNumberFormat="1"/>
    <xf borderId="12" fillId="2" fontId="6" numFmtId="167" xfId="0" applyAlignment="1" applyBorder="1" applyFill="1" applyFont="1" applyNumberFormat="1">
      <alignment horizontal="right" vertical="center"/>
    </xf>
    <xf borderId="12" fillId="2" fontId="6" numFmtId="10" xfId="0" applyAlignment="1" applyBorder="1" applyFont="1" applyNumberFormat="1">
      <alignment horizontal="center"/>
    </xf>
    <xf borderId="13" fillId="0" fontId="1" numFmtId="164" xfId="0" applyBorder="1" applyFont="1" applyNumberFormat="1"/>
    <xf borderId="12" fillId="0" fontId="4" numFmtId="167" xfId="0" applyAlignment="1" applyBorder="1" applyFont="1" applyNumberFormat="1">
      <alignment horizontal="right" vertical="center"/>
    </xf>
    <xf borderId="0" fillId="0" fontId="2" numFmtId="168" xfId="0" applyAlignment="1" applyFont="1" applyNumberFormat="1">
      <alignment horizontal="center"/>
    </xf>
    <xf borderId="12" fillId="2" fontId="6" numFmtId="9" xfId="0" applyBorder="1" applyFont="1" applyNumberFormat="1"/>
    <xf borderId="0" fillId="0" fontId="7" numFmtId="10" xfId="0" applyAlignment="1" applyFont="1" applyNumberFormat="1">
      <alignment horizontal="center"/>
    </xf>
    <xf borderId="0" fillId="0" fontId="1" numFmtId="167" xfId="0" applyFont="1" applyNumberFormat="1"/>
    <xf borderId="12" fillId="2" fontId="6" numFmtId="167" xfId="0" applyBorder="1" applyFont="1" applyNumberFormat="1"/>
    <xf borderId="0" fillId="0" fontId="1" numFmtId="10" xfId="0" applyAlignment="1" applyFont="1" applyNumberFormat="1">
      <alignment horizontal="center"/>
    </xf>
    <xf borderId="12" fillId="2" fontId="6" numFmtId="10" xfId="0" applyBorder="1" applyFont="1" applyNumberFormat="1"/>
    <xf borderId="0" fillId="0" fontId="1" numFmtId="165" xfId="0" applyFont="1" applyNumberFormat="1"/>
    <xf borderId="0" fillId="0" fontId="2" numFmtId="164" xfId="0" applyAlignment="1" applyFont="1" applyNumberFormat="1">
      <alignment horizontal="center"/>
    </xf>
    <xf borderId="12" fillId="2" fontId="6" numFmtId="0" xfId="0" applyAlignment="1" applyBorder="1" applyFont="1">
      <alignment horizontal="right"/>
    </xf>
    <xf borderId="7" fillId="0" fontId="1" numFmtId="164" xfId="0" applyBorder="1" applyFont="1" applyNumberFormat="1"/>
    <xf borderId="8" fillId="0" fontId="1" numFmtId="164" xfId="0" applyBorder="1" applyFont="1" applyNumberFormat="1"/>
    <xf borderId="8" fillId="0" fontId="1" numFmtId="164" xfId="0" applyAlignment="1" applyBorder="1" applyFont="1" applyNumberFormat="1">
      <alignment horizontal="center"/>
    </xf>
    <xf borderId="9" fillId="0" fontId="1" numFmtId="164" xfId="0" applyBorder="1" applyFont="1" applyNumberFormat="1"/>
    <xf borderId="14" fillId="0" fontId="2" numFmtId="164" xfId="0" applyAlignment="1" applyBorder="1" applyFont="1" applyNumberFormat="1">
      <alignment horizontal="center" vertical="center"/>
    </xf>
    <xf borderId="14" fillId="0" fontId="7" numFmtId="0" xfId="0" applyAlignment="1" applyBorder="1" applyFont="1">
      <alignment horizontal="center" vertical="center"/>
    </xf>
    <xf borderId="15" fillId="0" fontId="2" numFmtId="0" xfId="0" applyAlignment="1" applyBorder="1" applyFont="1">
      <alignment horizontal="center" vertical="center"/>
    </xf>
    <xf borderId="15" fillId="0" fontId="5" numFmtId="0" xfId="0" applyBorder="1" applyFont="1"/>
    <xf borderId="16" fillId="0" fontId="5" numFmtId="0" xfId="0" applyBorder="1" applyFont="1"/>
    <xf borderId="0" fillId="0" fontId="4" numFmtId="0" xfId="0" applyFont="1"/>
    <xf borderId="17" fillId="0" fontId="5" numFmtId="0" xfId="0" applyBorder="1" applyFont="1"/>
    <xf borderId="18" fillId="0" fontId="2" numFmtId="3" xfId="0" applyAlignment="1" applyBorder="1" applyFont="1" applyNumberFormat="1">
      <alignment horizontal="center"/>
    </xf>
    <xf borderId="19" fillId="0" fontId="2" numFmtId="3" xfId="0" applyAlignment="1" applyBorder="1" applyFont="1" applyNumberFormat="1">
      <alignment horizontal="center"/>
    </xf>
    <xf borderId="14" fillId="0" fontId="1" numFmtId="164" xfId="0" applyBorder="1" applyFont="1" applyNumberFormat="1"/>
    <xf borderId="20" fillId="0" fontId="1" numFmtId="164" xfId="0" applyAlignment="1" applyBorder="1" applyFont="1" applyNumberFormat="1">
      <alignment horizontal="center"/>
    </xf>
    <xf borderId="21" fillId="0" fontId="1" numFmtId="164" xfId="0" applyAlignment="1" applyBorder="1" applyFont="1" applyNumberFormat="1">
      <alignment horizontal="center"/>
    </xf>
    <xf borderId="21" fillId="0" fontId="1" numFmtId="164" xfId="0" applyBorder="1" applyFont="1" applyNumberFormat="1"/>
    <xf borderId="22" fillId="0" fontId="2" numFmtId="164" xfId="0" applyAlignment="1" applyBorder="1" applyFont="1" applyNumberFormat="1">
      <alignment horizontal="left" vertical="center"/>
    </xf>
    <xf borderId="22" fillId="0" fontId="1" numFmtId="164" xfId="0" applyAlignment="1" applyBorder="1" applyFont="1" applyNumberFormat="1">
      <alignment vertical="center"/>
    </xf>
    <xf borderId="23" fillId="2" fontId="8" numFmtId="169" xfId="0" applyAlignment="1" applyBorder="1" applyFont="1" applyNumberFormat="1">
      <alignment horizontal="center" vertical="center"/>
    </xf>
    <xf borderId="24" fillId="0" fontId="8" numFmtId="169" xfId="0" applyAlignment="1" applyBorder="1" applyFont="1" applyNumberFormat="1">
      <alignment horizontal="center" vertical="center"/>
    </xf>
    <xf borderId="25" fillId="0" fontId="8" numFmtId="164" xfId="0" applyAlignment="1" applyBorder="1" applyFont="1" applyNumberFormat="1">
      <alignment horizontal="center"/>
    </xf>
    <xf borderId="26" fillId="0" fontId="2" numFmtId="164" xfId="0" applyAlignment="1" applyBorder="1" applyFont="1" applyNumberFormat="1">
      <alignment horizontal="left" vertical="center"/>
    </xf>
    <xf borderId="26" fillId="0" fontId="1" numFmtId="164" xfId="0" applyAlignment="1" applyBorder="1" applyFont="1" applyNumberFormat="1">
      <alignment vertical="center"/>
    </xf>
    <xf borderId="27" fillId="0" fontId="1" numFmtId="169" xfId="0" applyAlignment="1" applyBorder="1" applyFont="1" applyNumberFormat="1">
      <alignment horizontal="center" vertical="center"/>
    </xf>
    <xf borderId="28" fillId="0" fontId="1" numFmtId="169" xfId="0" applyAlignment="1" applyBorder="1" applyFont="1" applyNumberFormat="1">
      <alignment horizontal="center" vertical="center"/>
    </xf>
    <xf borderId="29" fillId="0" fontId="1" numFmtId="169" xfId="0" applyAlignment="1" applyBorder="1" applyFont="1" applyNumberFormat="1">
      <alignment horizontal="center" vertical="center"/>
    </xf>
    <xf borderId="0" fillId="0" fontId="1" numFmtId="170" xfId="0" applyFont="1" applyNumberFormat="1"/>
    <xf borderId="30" fillId="0" fontId="1" numFmtId="164" xfId="0" applyAlignment="1" applyBorder="1" applyFont="1" applyNumberFormat="1">
      <alignment horizontal="center" vertical="center"/>
    </xf>
    <xf borderId="28" fillId="0" fontId="1" numFmtId="164" xfId="0" applyAlignment="1" applyBorder="1" applyFont="1" applyNumberFormat="1">
      <alignment horizontal="center" vertical="center"/>
    </xf>
    <xf borderId="29" fillId="0" fontId="1" numFmtId="164" xfId="0" applyAlignment="1" applyBorder="1" applyFont="1" applyNumberFormat="1">
      <alignment horizontal="center" vertical="center"/>
    </xf>
    <xf borderId="31" fillId="0" fontId="1" numFmtId="169" xfId="0" applyAlignment="1" applyBorder="1" applyFont="1" applyNumberFormat="1">
      <alignment horizontal="center" vertical="center"/>
    </xf>
    <xf borderId="0" fillId="0" fontId="1" numFmtId="10" xfId="0" applyFont="1" applyNumberFormat="1"/>
    <xf borderId="26" fillId="0" fontId="2" numFmtId="164" xfId="0" applyAlignment="1" applyBorder="1" applyFont="1" applyNumberFormat="1">
      <alignment horizontal="left" shrinkToFit="0" vertical="center" wrapText="1"/>
    </xf>
    <xf borderId="17" fillId="0" fontId="2" numFmtId="164" xfId="0" applyAlignment="1" applyBorder="1" applyFont="1" applyNumberFormat="1">
      <alignment horizontal="left" shrinkToFit="0" vertical="center" wrapText="1"/>
    </xf>
    <xf borderId="17" fillId="0" fontId="2" numFmtId="164" xfId="0" applyAlignment="1" applyBorder="1" applyFont="1" applyNumberFormat="1">
      <alignment horizontal="center" shrinkToFit="0" vertical="center" wrapText="1"/>
    </xf>
    <xf borderId="32" fillId="0" fontId="1" numFmtId="169" xfId="0" applyAlignment="1" applyBorder="1" applyFont="1" applyNumberFormat="1">
      <alignment horizontal="center" shrinkToFit="0" vertical="center" wrapText="1"/>
    </xf>
    <xf borderId="33" fillId="0" fontId="1" numFmtId="169" xfId="0" applyAlignment="1" applyBorder="1" applyFont="1" applyNumberFormat="1">
      <alignment horizontal="center" shrinkToFit="0" vertical="center" wrapText="1"/>
    </xf>
    <xf borderId="34" fillId="0" fontId="1" numFmtId="169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35" fillId="0" fontId="1" numFmtId="164" xfId="0" applyAlignment="1" applyBorder="1" applyFont="1" applyNumberFormat="1">
      <alignment horizontal="left" vertical="center"/>
    </xf>
    <xf borderId="35" fillId="0" fontId="1" numFmtId="164" xfId="0" applyAlignment="1" applyBorder="1" applyFont="1" applyNumberFormat="1">
      <alignment vertical="center"/>
    </xf>
    <xf borderId="36" fillId="0" fontId="1" numFmtId="164" xfId="0" applyAlignment="1" applyBorder="1" applyFont="1" applyNumberFormat="1">
      <alignment horizontal="center" vertical="center"/>
    </xf>
    <xf borderId="37" fillId="0" fontId="1" numFmtId="164" xfId="0" applyAlignment="1" applyBorder="1" applyFont="1" applyNumberFormat="1">
      <alignment horizontal="center" vertical="center"/>
    </xf>
    <xf borderId="38" fillId="0" fontId="1" numFmtId="164" xfId="0" applyBorder="1" applyFont="1" applyNumberFormat="1"/>
    <xf borderId="22" fillId="0" fontId="2" numFmtId="164" xfId="0" applyAlignment="1" applyBorder="1" applyFont="1" applyNumberFormat="1">
      <alignment horizontal="left" shrinkToFit="0" vertical="center" wrapText="1"/>
    </xf>
    <xf borderId="24" fillId="0" fontId="1" numFmtId="164" xfId="0" applyAlignment="1" applyBorder="1" applyFont="1" applyNumberFormat="1">
      <alignment horizontal="center" shrinkToFit="0" vertical="center" wrapText="1"/>
    </xf>
    <xf borderId="39" fillId="0" fontId="1" numFmtId="164" xfId="0" applyAlignment="1" applyBorder="1" applyFont="1" applyNumberFormat="1">
      <alignment horizontal="center" shrinkToFit="0" vertical="center" wrapText="1"/>
    </xf>
    <xf borderId="40" fillId="0" fontId="1" numFmtId="164" xfId="0" applyAlignment="1" applyBorder="1" applyFont="1" applyNumberFormat="1">
      <alignment horizontal="center" shrinkToFit="0" vertical="center" wrapText="1"/>
    </xf>
    <xf borderId="26" fillId="0" fontId="2" numFmtId="164" xfId="0" applyAlignment="1" applyBorder="1" applyFont="1" applyNumberFormat="1">
      <alignment horizontal="center" shrinkToFit="0" vertical="center" wrapText="1"/>
    </xf>
    <xf borderId="27" fillId="0" fontId="1" numFmtId="164" xfId="0" applyAlignment="1" applyBorder="1" applyFont="1" applyNumberFormat="1">
      <alignment horizontal="center" shrinkToFit="0" vertical="center" wrapText="1"/>
    </xf>
    <xf borderId="28" fillId="0" fontId="1" numFmtId="164" xfId="0" applyAlignment="1" applyBorder="1" applyFont="1" applyNumberFormat="1">
      <alignment horizontal="center" shrinkToFit="0" vertical="center" wrapText="1"/>
    </xf>
    <xf borderId="29" fillId="0" fontId="1" numFmtId="164" xfId="0" applyAlignment="1" applyBorder="1" applyFont="1" applyNumberFormat="1">
      <alignment horizontal="center" shrinkToFit="0" vertical="center" wrapText="1"/>
    </xf>
    <xf borderId="32" fillId="0" fontId="1" numFmtId="164" xfId="0" applyAlignment="1" applyBorder="1" applyFont="1" applyNumberFormat="1">
      <alignment horizontal="center" shrinkToFit="0" vertical="center" wrapText="1"/>
    </xf>
    <xf borderId="33" fillId="0" fontId="1" numFmtId="164" xfId="0" applyAlignment="1" applyBorder="1" applyFont="1" applyNumberFormat="1">
      <alignment horizontal="center" shrinkToFit="0" vertical="center" wrapText="1"/>
    </xf>
    <xf borderId="34" fillId="0" fontId="1" numFmtId="164" xfId="0" applyAlignment="1" applyBorder="1" applyFont="1" applyNumberFormat="1">
      <alignment horizontal="center" shrinkToFit="0" vertical="center" wrapText="1"/>
    </xf>
    <xf borderId="32" fillId="0" fontId="1" numFmtId="164" xfId="0" applyAlignment="1" applyBorder="1" applyFont="1" applyNumberFormat="1">
      <alignment horizontal="center" vertical="center"/>
    </xf>
    <xf borderId="33" fillId="0" fontId="1" numFmtId="164" xfId="0" applyAlignment="1" applyBorder="1" applyFont="1" applyNumberFormat="1">
      <alignment horizontal="center" vertical="center"/>
    </xf>
    <xf borderId="34" fillId="0" fontId="1" numFmtId="164" xfId="0" applyAlignment="1" applyBorder="1" applyFont="1" applyNumberFormat="1">
      <alignment horizontal="center" vertical="center"/>
    </xf>
    <xf borderId="38" fillId="0" fontId="1" numFmtId="164" xfId="0" applyAlignment="1" applyBorder="1" applyFont="1" applyNumberFormat="1">
      <alignment horizontal="center" vertical="center"/>
    </xf>
    <xf borderId="12" fillId="0" fontId="2" numFmtId="164" xfId="0" applyAlignment="1" applyBorder="1" applyFont="1" applyNumberFormat="1">
      <alignment horizontal="left" shrinkToFit="0" vertical="center" wrapText="1"/>
    </xf>
    <xf borderId="12" fillId="0" fontId="2" numFmtId="164" xfId="0" applyAlignment="1" applyBorder="1" applyFont="1" applyNumberFormat="1">
      <alignment horizontal="center" shrinkToFit="0" vertical="center" wrapText="1"/>
    </xf>
    <xf borderId="18" fillId="0" fontId="1" numFmtId="167" xfId="0" applyAlignment="1" applyBorder="1" applyFont="1" applyNumberFormat="1">
      <alignment horizontal="center" vertical="center"/>
    </xf>
    <xf borderId="19" fillId="0" fontId="1" numFmtId="167" xfId="0" applyAlignment="1" applyBorder="1" applyFont="1" applyNumberFormat="1">
      <alignment horizontal="center" vertical="center"/>
    </xf>
    <xf borderId="41" fillId="0" fontId="1" numFmtId="167" xfId="0" applyAlignment="1" applyBorder="1" applyFont="1" applyNumberFormat="1">
      <alignment horizontal="center" vertical="center"/>
    </xf>
    <xf borderId="35" fillId="0" fontId="1" numFmtId="164" xfId="0" applyBorder="1" applyFont="1" applyNumberFormat="1"/>
    <xf borderId="11" fillId="0" fontId="1" numFmtId="164" xfId="0" applyAlignment="1" applyBorder="1" applyFont="1" applyNumberFormat="1">
      <alignment horizontal="center"/>
    </xf>
    <xf borderId="17" fillId="0" fontId="1" numFmtId="164" xfId="0" applyAlignment="1" applyBorder="1" applyFont="1" applyNumberFormat="1">
      <alignment horizontal="left"/>
    </xf>
    <xf borderId="17" fillId="0" fontId="1" numFmtId="164" xfId="0" applyBorder="1" applyFont="1" applyNumberFormat="1"/>
    <xf borderId="8" fillId="0" fontId="2" numFmtId="164" xfId="0" applyAlignment="1" applyBorder="1" applyFont="1" applyNumberFormat="1">
      <alignment horizontal="center"/>
    </xf>
    <xf borderId="8" fillId="0" fontId="2" numFmtId="10" xfId="0" applyAlignment="1" applyBorder="1" applyFont="1" applyNumberFormat="1">
      <alignment horizontal="center"/>
    </xf>
    <xf borderId="8" fillId="0" fontId="2" numFmtId="167" xfId="0" applyAlignment="1" applyBorder="1" applyFont="1" applyNumberFormat="1">
      <alignment horizontal="center"/>
    </xf>
    <xf borderId="9" fillId="0" fontId="2" numFmtId="167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  <a:ln cap="flat" cmpd="sng" w="2540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5"/>
    <col customWidth="1" min="2" max="16" width="12.63"/>
    <col customWidth="1" min="17" max="38" width="11.5"/>
  </cols>
  <sheetData>
    <row r="1" ht="4.5" customHeight="1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ht="9.75" customHeight="1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8"/>
      <c r="N2" s="9"/>
      <c r="O2" s="9"/>
      <c r="P2" s="10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ht="9.75" customHeight="1">
      <c r="A3" s="12" t="s">
        <v>1</v>
      </c>
      <c r="B3" s="13"/>
      <c r="C3" s="14"/>
      <c r="D3" s="14"/>
      <c r="E3" s="14"/>
      <c r="F3" s="14"/>
      <c r="G3" s="14"/>
      <c r="H3" s="14"/>
      <c r="I3" s="14"/>
      <c r="J3" s="15"/>
      <c r="K3" s="15"/>
      <c r="L3" s="16"/>
      <c r="M3" s="17"/>
      <c r="N3" s="18"/>
      <c r="O3" s="18"/>
      <c r="P3" s="19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ht="4.5" customHeight="1">
      <c r="A4" s="20"/>
      <c r="B4" s="21"/>
      <c r="C4" s="22"/>
      <c r="D4" s="22"/>
      <c r="E4" s="22"/>
      <c r="F4" s="22"/>
      <c r="G4" s="22"/>
      <c r="H4" s="22"/>
      <c r="I4" s="22"/>
      <c r="J4" s="22"/>
      <c r="K4" s="22"/>
      <c r="L4" s="21"/>
      <c r="M4" s="21"/>
      <c r="N4" s="21"/>
      <c r="O4" s="21"/>
      <c r="P4" s="2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ht="14.25" customHeight="1">
      <c r="A5" s="24" t="s">
        <v>2</v>
      </c>
      <c r="B5" s="25"/>
      <c r="C5" s="2"/>
      <c r="D5" s="26" t="str">
        <f>B16</f>
        <v>$5,440,000.00</v>
      </c>
      <c r="E5" s="27"/>
      <c r="F5" s="25" t="s">
        <v>3</v>
      </c>
      <c r="G5" s="2"/>
      <c r="H5" s="28" t="str">
        <f>0.15+0.21</f>
        <v>36.0000%</v>
      </c>
      <c r="I5" s="1"/>
      <c r="J5" s="1"/>
      <c r="K5" s="1"/>
      <c r="L5" s="27"/>
      <c r="M5" s="1"/>
      <c r="N5" s="1"/>
      <c r="O5" s="29">
        <v>0.0056</v>
      </c>
      <c r="P5" s="30"/>
      <c r="Q5" s="1"/>
      <c r="R5" s="1" t="s">
        <v>4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ht="14.25" customHeight="1">
      <c r="A6" s="24" t="s">
        <v>5</v>
      </c>
      <c r="B6" s="25"/>
      <c r="C6" s="2"/>
      <c r="D6" s="31" t="str">
        <f>0.1074/12</f>
        <v>0.8950%</v>
      </c>
      <c r="E6" s="32"/>
      <c r="F6" s="27" t="s">
        <v>6</v>
      </c>
      <c r="G6" s="2"/>
      <c r="H6" s="33">
        <v>0.3</v>
      </c>
      <c r="I6" s="1"/>
      <c r="J6" s="1"/>
      <c r="K6" s="1"/>
      <c r="L6" s="27"/>
      <c r="M6" s="1"/>
      <c r="N6" s="1"/>
      <c r="O6" s="34" t="str">
        <f>I38</f>
        <v>0.56%</v>
      </c>
      <c r="P6" s="30"/>
      <c r="Q6" s="1"/>
      <c r="R6" s="1"/>
      <c r="S6" s="3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ht="14.25" customHeight="1">
      <c r="A7" s="24" t="s">
        <v>7</v>
      </c>
      <c r="B7" s="25"/>
      <c r="C7" s="2"/>
      <c r="D7" s="28" t="str">
        <f>D6+0.05/12</f>
        <v>1.3117%</v>
      </c>
      <c r="E7" s="32"/>
      <c r="F7" s="27" t="s">
        <v>8</v>
      </c>
      <c r="G7" s="1"/>
      <c r="H7" s="36">
        <v>0.1</v>
      </c>
      <c r="I7" s="1"/>
      <c r="J7" s="1"/>
      <c r="K7" s="1"/>
      <c r="L7" s="27"/>
      <c r="M7" s="1"/>
      <c r="N7" s="1"/>
      <c r="O7" s="35"/>
      <c r="P7" s="30"/>
      <c r="Q7" s="1"/>
      <c r="R7" s="1"/>
      <c r="S7" s="3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ht="14.25" customHeight="1">
      <c r="A8" s="24" t="s">
        <v>9</v>
      </c>
      <c r="B8" s="25"/>
      <c r="C8" s="2"/>
      <c r="D8" s="26" t="str">
        <f>B21</f>
        <v>$6,017,510.40</v>
      </c>
      <c r="E8" s="37"/>
      <c r="F8" s="27" t="s">
        <v>10</v>
      </c>
      <c r="G8" s="1"/>
      <c r="H8" s="38"/>
      <c r="I8" s="1"/>
      <c r="J8" s="1"/>
      <c r="K8" s="1"/>
      <c r="L8" s="27"/>
      <c r="M8" s="1"/>
      <c r="N8" s="39"/>
      <c r="O8" s="35"/>
      <c r="P8" s="30"/>
      <c r="Q8" s="1"/>
      <c r="R8" s="1"/>
      <c r="S8" s="3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ht="14.25" customHeight="1">
      <c r="A9" s="24" t="s">
        <v>11</v>
      </c>
      <c r="B9" s="25"/>
      <c r="C9" s="2"/>
      <c r="D9" s="26" t="str">
        <f>+D8*1.16</f>
        <v>$6,980,312.06</v>
      </c>
      <c r="E9" s="2"/>
      <c r="F9" s="27" t="s">
        <v>12</v>
      </c>
      <c r="G9" s="40"/>
      <c r="H9" s="41">
        <v>10.7437</v>
      </c>
      <c r="I9" s="1"/>
      <c r="J9" s="1"/>
      <c r="K9" s="1"/>
      <c r="L9" s="40"/>
      <c r="M9" s="1"/>
      <c r="N9" s="1"/>
      <c r="O9" s="35"/>
      <c r="P9" s="30"/>
      <c r="Q9" s="1"/>
      <c r="R9" s="1"/>
      <c r="S9" s="3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ht="4.5" customHeight="1">
      <c r="A10" s="42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3"/>
      <c r="M10" s="43"/>
      <c r="N10" s="43"/>
      <c r="O10" s="43"/>
      <c r="P10" s="45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ht="9.75" customHeight="1">
      <c r="A11" s="46" t="s">
        <v>13</v>
      </c>
      <c r="B11" s="47" t="s">
        <v>14</v>
      </c>
      <c r="C11" s="48" t="s">
        <v>15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50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</row>
    <row r="12" ht="9.75" customHeight="1">
      <c r="A12" s="52"/>
      <c r="B12" s="52"/>
      <c r="C12" s="53">
        <v>1.0</v>
      </c>
      <c r="D12" s="54" t="str">
        <f t="shared" ref="D12:P12" si="1">+C12+1</f>
        <v>2</v>
      </c>
      <c r="E12" s="54" t="str">
        <f t="shared" si="1"/>
        <v>3</v>
      </c>
      <c r="F12" s="54" t="str">
        <f t="shared" si="1"/>
        <v>4</v>
      </c>
      <c r="G12" s="54" t="str">
        <f t="shared" si="1"/>
        <v>5</v>
      </c>
      <c r="H12" s="54" t="str">
        <f t="shared" si="1"/>
        <v>6</v>
      </c>
      <c r="I12" s="54" t="str">
        <f t="shared" si="1"/>
        <v>7</v>
      </c>
      <c r="J12" s="54" t="str">
        <f t="shared" si="1"/>
        <v>8</v>
      </c>
      <c r="K12" s="54" t="str">
        <f t="shared" si="1"/>
        <v>9</v>
      </c>
      <c r="L12" s="54" t="str">
        <f t="shared" si="1"/>
        <v>10</v>
      </c>
      <c r="M12" s="54" t="str">
        <f t="shared" si="1"/>
        <v>11</v>
      </c>
      <c r="N12" s="54" t="str">
        <f t="shared" si="1"/>
        <v>12</v>
      </c>
      <c r="O12" s="54" t="str">
        <f t="shared" si="1"/>
        <v>13</v>
      </c>
      <c r="P12" s="54" t="str">
        <f t="shared" si="1"/>
        <v>14</v>
      </c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</row>
    <row r="13" ht="4.5" customHeight="1">
      <c r="A13" s="55"/>
      <c r="B13" s="55"/>
      <c r="C13" s="56"/>
      <c r="D13" s="57"/>
      <c r="E13" s="57"/>
      <c r="F13" s="57"/>
      <c r="G13" s="57"/>
      <c r="H13" s="57"/>
      <c r="I13" s="57"/>
      <c r="J13" s="57"/>
      <c r="K13" s="57"/>
      <c r="L13" s="57"/>
      <c r="M13" s="58"/>
      <c r="N13" s="58"/>
      <c r="O13" s="58"/>
      <c r="P13" s="23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ht="18.75" customHeight="1">
      <c r="A14" s="59" t="s">
        <v>16</v>
      </c>
      <c r="B14" s="60" t="str">
        <f t="shared" ref="B14:B15" si="2">SUM(C14:P14)</f>
        <v>$4,000,000.00</v>
      </c>
      <c r="C14" s="61">
        <v>500000.0</v>
      </c>
      <c r="D14" s="61">
        <v>750000.0</v>
      </c>
      <c r="E14" s="61">
        <v>1000000.0</v>
      </c>
      <c r="F14" s="61">
        <v>1000000.0</v>
      </c>
      <c r="G14" s="61">
        <v>750000.0</v>
      </c>
      <c r="H14" s="62"/>
      <c r="I14" s="62"/>
      <c r="J14" s="62"/>
      <c r="K14" s="62"/>
      <c r="L14" s="62"/>
      <c r="M14" s="62"/>
      <c r="N14" s="62"/>
      <c r="O14" s="62"/>
      <c r="P14" s="63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ht="18.75" customHeight="1">
      <c r="A15" s="64" t="s">
        <v>17</v>
      </c>
      <c r="B15" s="65" t="str">
        <f t="shared" si="2"/>
        <v>$1,440,000.00</v>
      </c>
      <c r="C15" s="66" t="str">
        <f t="shared" ref="C15:I15" si="3">+C14*$H$5</f>
        <v>$180,000.00</v>
      </c>
      <c r="D15" s="67" t="str">
        <f t="shared" si="3"/>
        <v>$270,000.00</v>
      </c>
      <c r="E15" s="67" t="str">
        <f t="shared" si="3"/>
        <v>$360,000.00</v>
      </c>
      <c r="F15" s="67" t="str">
        <f t="shared" si="3"/>
        <v>$360,000.00</v>
      </c>
      <c r="G15" s="67" t="str">
        <f t="shared" si="3"/>
        <v>$270,000.00</v>
      </c>
      <c r="H15" s="67" t="str">
        <f t="shared" si="3"/>
        <v>$0.00</v>
      </c>
      <c r="I15" s="67" t="str">
        <f t="shared" si="3"/>
        <v>$0.00</v>
      </c>
      <c r="J15" s="67"/>
      <c r="K15" s="67"/>
      <c r="L15" s="67"/>
      <c r="M15" s="67"/>
      <c r="N15" s="67"/>
      <c r="O15" s="67"/>
      <c r="P15" s="68"/>
      <c r="Q15" s="1"/>
      <c r="R15" s="69"/>
      <c r="S15" s="69"/>
      <c r="T15" s="69"/>
      <c r="U15" s="69"/>
      <c r="V15" s="69"/>
      <c r="W15" s="69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ht="18.75" customHeight="1">
      <c r="A16" s="64" t="s">
        <v>18</v>
      </c>
      <c r="B16" s="65" t="str">
        <f t="shared" ref="B16:I16" si="4">B14+B15</f>
        <v>$5,440,000.00</v>
      </c>
      <c r="C16" s="70" t="str">
        <f t="shared" si="4"/>
        <v>$680,000.00</v>
      </c>
      <c r="D16" s="71" t="str">
        <f t="shared" si="4"/>
        <v>$1,020,000.00</v>
      </c>
      <c r="E16" s="71" t="str">
        <f t="shared" si="4"/>
        <v>$1,360,000.00</v>
      </c>
      <c r="F16" s="71" t="str">
        <f t="shared" si="4"/>
        <v>$1,360,000.00</v>
      </c>
      <c r="G16" s="71" t="str">
        <f t="shared" si="4"/>
        <v>$1,020,000.00</v>
      </c>
      <c r="H16" s="71" t="str">
        <f t="shared" si="4"/>
        <v>$0.00</v>
      </c>
      <c r="I16" s="71" t="str">
        <f t="shared" si="4"/>
        <v>$0.00</v>
      </c>
      <c r="J16" s="71"/>
      <c r="K16" s="71"/>
      <c r="L16" s="71"/>
      <c r="M16" s="71"/>
      <c r="N16" s="71"/>
      <c r="O16" s="71"/>
      <c r="P16" s="72"/>
      <c r="Q16" s="1"/>
      <c r="R16" s="69"/>
      <c r="S16" s="69"/>
      <c r="T16" s="69"/>
      <c r="U16" s="69"/>
      <c r="V16" s="69"/>
      <c r="W16" s="69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ht="18.75" customHeight="1">
      <c r="A17" s="64" t="s">
        <v>19</v>
      </c>
      <c r="B17" s="65" t="str">
        <f t="shared" ref="B17:B21" si="6">SUM(C17:P17)</f>
        <v>$30,464.00</v>
      </c>
      <c r="C17" s="66" t="str">
        <f t="shared" ref="C17:I17" si="5">+(C16)*$O$5</f>
        <v>$3,808.00</v>
      </c>
      <c r="D17" s="66" t="str">
        <f t="shared" si="5"/>
        <v>$5,712.00</v>
      </c>
      <c r="E17" s="66" t="str">
        <f t="shared" si="5"/>
        <v>$7,616.00</v>
      </c>
      <c r="F17" s="66" t="str">
        <f t="shared" si="5"/>
        <v>$7,616.00</v>
      </c>
      <c r="G17" s="66" t="str">
        <f t="shared" si="5"/>
        <v>$5,712.00</v>
      </c>
      <c r="H17" s="66" t="str">
        <f t="shared" si="5"/>
        <v>$0.00</v>
      </c>
      <c r="I17" s="66" t="str">
        <f t="shared" si="5"/>
        <v>$0.00</v>
      </c>
      <c r="J17" s="66"/>
      <c r="K17" s="66"/>
      <c r="L17" s="66"/>
      <c r="M17" s="66"/>
      <c r="N17" s="66"/>
      <c r="O17" s="66"/>
      <c r="P17" s="73"/>
      <c r="Q17" s="1"/>
      <c r="R17" s="74"/>
      <c r="S17" s="74"/>
      <c r="T17" s="74"/>
      <c r="U17" s="74"/>
      <c r="V17" s="74"/>
      <c r="W17" s="74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ht="18.75" customHeight="1">
      <c r="A18" s="75" t="s">
        <v>20</v>
      </c>
      <c r="B18" s="65" t="str">
        <f t="shared" si="6"/>
        <v>$5,470,464.00</v>
      </c>
      <c r="C18" s="66" t="str">
        <f t="shared" ref="C18:I18" si="7">C16+C17</f>
        <v>$683,808.00</v>
      </c>
      <c r="D18" s="66" t="str">
        <f t="shared" si="7"/>
        <v>$1,025,712.00</v>
      </c>
      <c r="E18" s="66" t="str">
        <f t="shared" si="7"/>
        <v>$1,367,616.00</v>
      </c>
      <c r="F18" s="66" t="str">
        <f t="shared" si="7"/>
        <v>$1,367,616.00</v>
      </c>
      <c r="G18" s="66" t="str">
        <f t="shared" si="7"/>
        <v>$1,025,712.00</v>
      </c>
      <c r="H18" s="66" t="str">
        <f t="shared" si="7"/>
        <v>$0.00</v>
      </c>
      <c r="I18" s="66" t="str">
        <f t="shared" si="7"/>
        <v>$0.00</v>
      </c>
      <c r="J18" s="66"/>
      <c r="K18" s="66"/>
      <c r="L18" s="66"/>
      <c r="M18" s="66"/>
      <c r="N18" s="66"/>
      <c r="O18" s="66"/>
      <c r="P18" s="73"/>
      <c r="Q18" s="1"/>
      <c r="R18" s="74"/>
      <c r="S18" s="74"/>
      <c r="T18" s="74"/>
      <c r="U18" s="74"/>
      <c r="V18" s="74"/>
      <c r="W18" s="74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ht="18.75" customHeight="1">
      <c r="A19" s="64" t="s">
        <v>21</v>
      </c>
      <c r="B19" s="65" t="str">
        <f t="shared" si="6"/>
        <v>$547,046.40</v>
      </c>
      <c r="C19" s="66" t="str">
        <f t="shared" ref="C19:I19" si="8">+(C16+C17)*$H$7</f>
        <v>$68,380.80</v>
      </c>
      <c r="D19" s="66" t="str">
        <f t="shared" si="8"/>
        <v>$102,571.20</v>
      </c>
      <c r="E19" s="66" t="str">
        <f t="shared" si="8"/>
        <v>$136,761.60</v>
      </c>
      <c r="F19" s="66" t="str">
        <f t="shared" si="8"/>
        <v>$136,761.60</v>
      </c>
      <c r="G19" s="66" t="str">
        <f t="shared" si="8"/>
        <v>$102,571.20</v>
      </c>
      <c r="H19" s="66" t="str">
        <f t="shared" si="8"/>
        <v>$0.00</v>
      </c>
      <c r="I19" s="66" t="str">
        <f t="shared" si="8"/>
        <v>$0.00</v>
      </c>
      <c r="J19" s="66"/>
      <c r="K19" s="66"/>
      <c r="L19" s="66"/>
      <c r="M19" s="66"/>
      <c r="N19" s="66"/>
      <c r="O19" s="66"/>
      <c r="P19" s="73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ht="18.75" customHeight="1">
      <c r="A20" s="64" t="s">
        <v>10</v>
      </c>
      <c r="B20" s="65" t="str">
        <f t="shared" si="6"/>
        <v>$0.00</v>
      </c>
      <c r="C20" s="66" t="str">
        <f t="shared" ref="C20:I20" si="9">(+(SUM(C18:C19))/(1-$H$8))*$H$8</f>
        <v>$0.00</v>
      </c>
      <c r="D20" s="66" t="str">
        <f t="shared" si="9"/>
        <v>$0.00</v>
      </c>
      <c r="E20" s="66" t="str">
        <f t="shared" si="9"/>
        <v>$0.00</v>
      </c>
      <c r="F20" s="66" t="str">
        <f t="shared" si="9"/>
        <v>$0.00</v>
      </c>
      <c r="G20" s="66" t="str">
        <f t="shared" si="9"/>
        <v>$0.00</v>
      </c>
      <c r="H20" s="66" t="str">
        <f t="shared" si="9"/>
        <v>$0.00</v>
      </c>
      <c r="I20" s="66" t="str">
        <f t="shared" si="9"/>
        <v>$0.00</v>
      </c>
      <c r="J20" s="66"/>
      <c r="K20" s="66"/>
      <c r="L20" s="66"/>
      <c r="M20" s="66"/>
      <c r="N20" s="66"/>
      <c r="O20" s="66"/>
      <c r="P20" s="73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ht="18.75" customHeight="1">
      <c r="A21" s="64" t="s">
        <v>22</v>
      </c>
      <c r="B21" s="65" t="str">
        <f t="shared" si="6"/>
        <v>$6,017,510.40</v>
      </c>
      <c r="C21" s="66" t="str">
        <f t="shared" ref="C21:I21" si="10">C18+C19+C20</f>
        <v>$752,188.80</v>
      </c>
      <c r="D21" s="66" t="str">
        <f t="shared" si="10"/>
        <v>$1,128,283.20</v>
      </c>
      <c r="E21" s="66" t="str">
        <f t="shared" si="10"/>
        <v>$1,504,377.60</v>
      </c>
      <c r="F21" s="66" t="str">
        <f t="shared" si="10"/>
        <v>$1,504,377.60</v>
      </c>
      <c r="G21" s="66" t="str">
        <f t="shared" si="10"/>
        <v>$1,128,283.20</v>
      </c>
      <c r="H21" s="66" t="str">
        <f t="shared" si="10"/>
        <v>$0.00</v>
      </c>
      <c r="I21" s="66" t="str">
        <f t="shared" si="10"/>
        <v>$0.00</v>
      </c>
      <c r="J21" s="66"/>
      <c r="K21" s="66"/>
      <c r="L21" s="66"/>
      <c r="M21" s="66"/>
      <c r="N21" s="66"/>
      <c r="O21" s="66"/>
      <c r="P21" s="73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ht="22.5" customHeight="1">
      <c r="A22" s="76" t="s">
        <v>23</v>
      </c>
      <c r="B22" s="77"/>
      <c r="C22" s="78" t="str">
        <f>+C16</f>
        <v>$680,000.00</v>
      </c>
      <c r="D22" s="79" t="str">
        <f t="shared" ref="D22:I22" si="11">+C22+D16</f>
        <v>$1,700,000.00</v>
      </c>
      <c r="E22" s="79" t="str">
        <f t="shared" si="11"/>
        <v>$3,060,000.00</v>
      </c>
      <c r="F22" s="79" t="str">
        <f t="shared" si="11"/>
        <v>$4,420,000.00</v>
      </c>
      <c r="G22" s="79" t="str">
        <f t="shared" si="11"/>
        <v>$5,440,000.00</v>
      </c>
      <c r="H22" s="79" t="str">
        <f t="shared" si="11"/>
        <v>$5,440,000.00</v>
      </c>
      <c r="I22" s="79" t="str">
        <f t="shared" si="11"/>
        <v>$5,440,000.00</v>
      </c>
      <c r="J22" s="79"/>
      <c r="K22" s="79"/>
      <c r="L22" s="79"/>
      <c r="M22" s="79"/>
      <c r="N22" s="79"/>
      <c r="O22" s="79"/>
      <c r="P22" s="80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</row>
    <row r="23" ht="7.5" customHeight="1">
      <c r="A23" s="82"/>
      <c r="B23" s="83"/>
      <c r="C23" s="84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6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ht="21.75" customHeight="1">
      <c r="A24" s="87" t="s">
        <v>24</v>
      </c>
      <c r="B24" s="60" t="str">
        <f>SUM(C24:P24)</f>
        <v>$6,017,510.40</v>
      </c>
      <c r="C24" s="88"/>
      <c r="D24" s="89" t="str">
        <f>+C21</f>
        <v>$752,188.80</v>
      </c>
      <c r="E24" s="89" t="str">
        <f t="shared" ref="E24:I24" si="12">D21</f>
        <v>$1,128,283.20</v>
      </c>
      <c r="F24" s="89" t="str">
        <f t="shared" si="12"/>
        <v>$1,504,377.60</v>
      </c>
      <c r="G24" s="89" t="str">
        <f t="shared" si="12"/>
        <v>$1,504,377.60</v>
      </c>
      <c r="H24" s="89" t="str">
        <f t="shared" si="12"/>
        <v>$1,128,283.20</v>
      </c>
      <c r="I24" s="89" t="str">
        <f t="shared" si="12"/>
        <v>$0.00</v>
      </c>
      <c r="J24" s="89"/>
      <c r="K24" s="89"/>
      <c r="L24" s="89"/>
      <c r="M24" s="89"/>
      <c r="N24" s="89"/>
      <c r="O24" s="89"/>
      <c r="P24" s="90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</row>
    <row r="25" ht="19.5" customHeight="1">
      <c r="A25" s="75" t="s">
        <v>25</v>
      </c>
      <c r="B25" s="91"/>
      <c r="C25" s="92" t="str">
        <f>D8*H6</f>
        <v>$1,805,253.12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4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</row>
    <row r="26" ht="24.0" customHeight="1">
      <c r="A26" s="75" t="s">
        <v>26</v>
      </c>
      <c r="B26" s="65" t="str">
        <f t="shared" ref="B26:B28" si="14">SUM(C26:P26)</f>
        <v>$6,017,510.40</v>
      </c>
      <c r="C26" s="92"/>
      <c r="D26" s="93" t="str">
        <f t="shared" ref="D26:I26" si="13">+C24</f>
        <v/>
      </c>
      <c r="E26" s="93" t="str">
        <f t="shared" si="13"/>
        <v>$752,188.80</v>
      </c>
      <c r="F26" s="93" t="str">
        <f t="shared" si="13"/>
        <v>$1,128,283.20</v>
      </c>
      <c r="G26" s="93" t="str">
        <f t="shared" si="13"/>
        <v>$1,504,377.60</v>
      </c>
      <c r="H26" s="93" t="str">
        <f t="shared" si="13"/>
        <v>$1,504,377.60</v>
      </c>
      <c r="I26" s="93" t="str">
        <f t="shared" si="13"/>
        <v>$1,128,283.20</v>
      </c>
      <c r="J26" s="93"/>
      <c r="K26" s="93"/>
      <c r="L26" s="93"/>
      <c r="M26" s="93"/>
      <c r="N26" s="93"/>
      <c r="O26" s="93"/>
      <c r="P26" s="94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</row>
    <row r="27" ht="23.25" customHeight="1">
      <c r="A27" s="75" t="s">
        <v>27</v>
      </c>
      <c r="B27" s="65" t="str">
        <f t="shared" si="14"/>
        <v>$1,805,253.12</v>
      </c>
      <c r="C27" s="92"/>
      <c r="D27" s="93" t="str">
        <f t="shared" ref="D27:I27" si="15">+D26*$H$6</f>
        <v>$0.00</v>
      </c>
      <c r="E27" s="93" t="str">
        <f t="shared" si="15"/>
        <v>$225,656.64</v>
      </c>
      <c r="F27" s="93" t="str">
        <f t="shared" si="15"/>
        <v>$338,484.96</v>
      </c>
      <c r="G27" s="93" t="str">
        <f t="shared" si="15"/>
        <v>$451,313.28</v>
      </c>
      <c r="H27" s="93" t="str">
        <f t="shared" si="15"/>
        <v>$451,313.28</v>
      </c>
      <c r="I27" s="93" t="str">
        <f t="shared" si="15"/>
        <v>$338,484.96</v>
      </c>
      <c r="J27" s="93"/>
      <c r="K27" s="93"/>
      <c r="L27" s="93"/>
      <c r="M27" s="93"/>
      <c r="N27" s="93"/>
      <c r="O27" s="93"/>
      <c r="P27" s="94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</row>
    <row r="28" ht="19.5" customHeight="1">
      <c r="A28" s="75" t="s">
        <v>28</v>
      </c>
      <c r="B28" s="65" t="str">
        <f t="shared" si="14"/>
        <v>$6,017,510.40</v>
      </c>
      <c r="C28" s="92" t="str">
        <f>+C25</f>
        <v>$1,805,253.12</v>
      </c>
      <c r="D28" s="93" t="str">
        <f t="shared" ref="D28:E28" si="16">+D26-D27</f>
        <v>$0.00</v>
      </c>
      <c r="E28" s="93" t="str">
        <f t="shared" si="16"/>
        <v>$526,532.16</v>
      </c>
      <c r="F28" s="93" t="str">
        <f t="shared" ref="F28:I28" si="17">+F26-F27+F25</f>
        <v>$789,798.24</v>
      </c>
      <c r="G28" s="93" t="str">
        <f t="shared" si="17"/>
        <v>$1,053,064.32</v>
      </c>
      <c r="H28" s="93" t="str">
        <f t="shared" si="17"/>
        <v>$1,053,064.32</v>
      </c>
      <c r="I28" s="93" t="str">
        <f t="shared" si="17"/>
        <v>$789,798.24</v>
      </c>
      <c r="J28" s="93"/>
      <c r="K28" s="93"/>
      <c r="L28" s="93"/>
      <c r="M28" s="93"/>
      <c r="N28" s="93"/>
      <c r="O28" s="93"/>
      <c r="P28" s="94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</row>
    <row r="29" ht="21.75" customHeight="1">
      <c r="A29" s="75" t="s">
        <v>29</v>
      </c>
      <c r="B29" s="91"/>
      <c r="C29" s="92"/>
      <c r="D29" s="93" t="str">
        <f t="shared" ref="D29:I29" si="18">C31*$D$6</f>
        <v>$10,071.02</v>
      </c>
      <c r="E29" s="93" t="str">
        <f t="shared" si="18"/>
        <v>$1,122.29</v>
      </c>
      <c r="F29" s="93" t="str">
        <f t="shared" si="18"/>
        <v>-$6,407.30</v>
      </c>
      <c r="G29" s="93" t="str">
        <f t="shared" si="18"/>
        <v>-$11,635.34</v>
      </c>
      <c r="H29" s="93" t="str">
        <f t="shared" si="18"/>
        <v>-$11,490.34</v>
      </c>
      <c r="I29" s="93" t="str">
        <f t="shared" si="18"/>
        <v>-$2,166.95</v>
      </c>
      <c r="J29" s="93"/>
      <c r="K29" s="93"/>
      <c r="L29" s="93"/>
      <c r="M29" s="93"/>
      <c r="N29" s="93"/>
      <c r="O29" s="93"/>
      <c r="P29" s="94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</row>
    <row r="30" ht="19.5" customHeight="1">
      <c r="A30" s="76" t="s">
        <v>30</v>
      </c>
      <c r="B30" s="77"/>
      <c r="C30" s="95" t="str">
        <f>+C28</f>
        <v>$1,805,253.12</v>
      </c>
      <c r="D30" s="96" t="str">
        <f t="shared" ref="D30:I30" si="19">+D28+C30+D29</f>
        <v>$1,815,324.14</v>
      </c>
      <c r="E30" s="96" t="str">
        <f t="shared" si="19"/>
        <v>$2,342,978.58</v>
      </c>
      <c r="F30" s="96" t="str">
        <f t="shared" si="19"/>
        <v>$3,126,369.52</v>
      </c>
      <c r="G30" s="96" t="str">
        <f t="shared" si="19"/>
        <v>$4,167,798.51</v>
      </c>
      <c r="H30" s="96" t="str">
        <f t="shared" si="19"/>
        <v>$5,209,372.49</v>
      </c>
      <c r="I30" s="96" t="str">
        <f t="shared" si="19"/>
        <v>$5,997,003.77</v>
      </c>
      <c r="J30" s="96"/>
      <c r="K30" s="96"/>
      <c r="L30" s="96"/>
      <c r="M30" s="96"/>
      <c r="N30" s="96"/>
      <c r="O30" s="96"/>
      <c r="P30" s="97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</row>
    <row r="31" ht="22.5" customHeight="1">
      <c r="A31" s="87" t="s">
        <v>31</v>
      </c>
      <c r="B31" s="65"/>
      <c r="C31" s="88" t="str">
        <f>+C30-C22</f>
        <v>$1,125,253.12</v>
      </c>
      <c r="D31" s="89" t="str">
        <f>+D30-D22+D29</f>
        <v>$125,395.15</v>
      </c>
      <c r="E31" s="89" t="str">
        <f t="shared" ref="E31:I31" si="20">+E30+E29-E22</f>
        <v>-$715,899.13</v>
      </c>
      <c r="F31" s="89" t="str">
        <f t="shared" si="20"/>
        <v>-$1,300,037.77</v>
      </c>
      <c r="G31" s="89" t="str">
        <f t="shared" si="20"/>
        <v>-$1,283,836.83</v>
      </c>
      <c r="H31" s="89" t="str">
        <f t="shared" si="20"/>
        <v>-$242,117.85</v>
      </c>
      <c r="I31" s="89" t="str">
        <f t="shared" si="20"/>
        <v>$554,836.82</v>
      </c>
      <c r="J31" s="89"/>
      <c r="K31" s="89"/>
      <c r="L31" s="89"/>
      <c r="M31" s="89"/>
      <c r="N31" s="89"/>
      <c r="O31" s="89"/>
      <c r="P31" s="90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</row>
    <row r="32" ht="38.25" customHeight="1">
      <c r="A32" s="75" t="s">
        <v>32</v>
      </c>
      <c r="B32" s="91"/>
      <c r="C32" s="92" t="str">
        <f t="shared" ref="C32:I32" si="21">+IF(C31&gt;0,C31)*$D$6</f>
        <v>$10,071.02</v>
      </c>
      <c r="D32" s="92" t="str">
        <f t="shared" si="21"/>
        <v>$1,122.29</v>
      </c>
      <c r="E32" s="92" t="str">
        <f t="shared" si="21"/>
        <v>$0.00</v>
      </c>
      <c r="F32" s="92" t="str">
        <f t="shared" si="21"/>
        <v>$0.00</v>
      </c>
      <c r="G32" s="92" t="str">
        <f t="shared" si="21"/>
        <v>$0.00</v>
      </c>
      <c r="H32" s="92" t="str">
        <f t="shared" si="21"/>
        <v>$0.00</v>
      </c>
      <c r="I32" s="92" t="str">
        <f t="shared" si="21"/>
        <v>$4,965.79</v>
      </c>
      <c r="J32" s="92"/>
      <c r="K32" s="92"/>
      <c r="L32" s="92"/>
      <c r="M32" s="92"/>
      <c r="N32" s="92"/>
      <c r="O32" s="92"/>
      <c r="P32" s="72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</row>
    <row r="33" ht="34.5" customHeight="1">
      <c r="A33" s="75" t="s">
        <v>33</v>
      </c>
      <c r="B33" s="65"/>
      <c r="C33" s="71" t="str">
        <f t="shared" ref="C33:I33" si="22">+IF(C31&lt;0,C31)*$D$7</f>
        <v>$0.00</v>
      </c>
      <c r="D33" s="71" t="str">
        <f t="shared" si="22"/>
        <v>$0.00</v>
      </c>
      <c r="E33" s="71" t="str">
        <f t="shared" si="22"/>
        <v>-$9,390.21</v>
      </c>
      <c r="F33" s="71" t="str">
        <f t="shared" si="22"/>
        <v>-$17,052.16</v>
      </c>
      <c r="G33" s="71" t="str">
        <f t="shared" si="22"/>
        <v>-$16,839.66</v>
      </c>
      <c r="H33" s="71" t="str">
        <f t="shared" si="22"/>
        <v>-$3,175.78</v>
      </c>
      <c r="I33" s="71" t="str">
        <f t="shared" si="22"/>
        <v>$0.00</v>
      </c>
      <c r="J33" s="71"/>
      <c r="K33" s="71"/>
      <c r="L33" s="71"/>
      <c r="M33" s="71"/>
      <c r="N33" s="71"/>
      <c r="O33" s="71"/>
      <c r="P33" s="72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ht="34.5" customHeight="1">
      <c r="A34" s="76" t="s">
        <v>34</v>
      </c>
      <c r="B34" s="77"/>
      <c r="C34" s="98" t="str">
        <f>+C32+C33</f>
        <v>$10,071.02</v>
      </c>
      <c r="D34" s="99" t="str">
        <f t="shared" ref="D34:I34" si="23">+D32+D33+C34</f>
        <v>$11,193.30</v>
      </c>
      <c r="E34" s="99" t="str">
        <f t="shared" si="23"/>
        <v>$1,803.09</v>
      </c>
      <c r="F34" s="99" t="str">
        <f t="shared" si="23"/>
        <v>-$15,249.07</v>
      </c>
      <c r="G34" s="99" t="str">
        <f t="shared" si="23"/>
        <v>-$32,088.73</v>
      </c>
      <c r="H34" s="99" t="str">
        <f t="shared" si="23"/>
        <v>-$35,264.51</v>
      </c>
      <c r="I34" s="99" t="str">
        <f t="shared" si="23"/>
        <v>-$30,298.72</v>
      </c>
      <c r="J34" s="99"/>
      <c r="K34" s="99"/>
      <c r="L34" s="99"/>
      <c r="M34" s="99"/>
      <c r="N34" s="99"/>
      <c r="O34" s="99"/>
      <c r="P34" s="100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ht="4.5" customHeight="1">
      <c r="A35" s="83"/>
      <c r="B35" s="83"/>
      <c r="C35" s="84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10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ht="34.5" customHeight="1">
      <c r="A36" s="102" t="s">
        <v>35</v>
      </c>
      <c r="B36" s="103"/>
      <c r="C36" s="104" t="str">
        <f t="shared" ref="C36:I36" si="24">+C34/$D$5</f>
        <v>0.1851%</v>
      </c>
      <c r="D36" s="105" t="str">
        <f t="shared" si="24"/>
        <v>0.2058%</v>
      </c>
      <c r="E36" s="105" t="str">
        <f t="shared" si="24"/>
        <v>0.0331%</v>
      </c>
      <c r="F36" s="105" t="str">
        <f t="shared" si="24"/>
        <v>-0.2803%</v>
      </c>
      <c r="G36" s="105" t="str">
        <f t="shared" si="24"/>
        <v>-0.5899%</v>
      </c>
      <c r="H36" s="105" t="str">
        <f t="shared" si="24"/>
        <v>-0.6482%</v>
      </c>
      <c r="I36" s="105" t="str">
        <f t="shared" si="24"/>
        <v>-0.5570%</v>
      </c>
      <c r="J36" s="105"/>
      <c r="K36" s="105"/>
      <c r="L36" s="105"/>
      <c r="M36" s="105"/>
      <c r="N36" s="105"/>
      <c r="O36" s="105"/>
      <c r="P36" s="106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ht="4.5" customHeight="1">
      <c r="A37" s="107"/>
      <c r="B37" s="10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108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ht="15.0" customHeight="1">
      <c r="A38" s="109"/>
      <c r="B38" s="110"/>
      <c r="C38" s="44"/>
      <c r="D38" s="44"/>
      <c r="E38" s="44"/>
      <c r="F38" s="111"/>
      <c r="G38" s="111" t="s">
        <v>36</v>
      </c>
      <c r="H38" s="44"/>
      <c r="I38" s="112" t="str">
        <f>-I36</f>
        <v>0.56%</v>
      </c>
      <c r="J38" s="112"/>
      <c r="K38" s="112"/>
      <c r="L38" s="113"/>
      <c r="M38" s="113"/>
      <c r="N38" s="113"/>
      <c r="O38" s="113"/>
      <c r="P38" s="114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ht="9.75" customHeight="1">
      <c r="A39" s="1"/>
      <c r="B39" s="1"/>
      <c r="C39" s="2"/>
      <c r="D39" s="2"/>
      <c r="E39" s="2"/>
      <c r="F39" s="2"/>
      <c r="G39" s="2"/>
      <c r="H39" s="2"/>
      <c r="I39" s="2"/>
      <c r="J39" s="2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ht="9.75" customHeight="1">
      <c r="A40" s="1"/>
      <c r="B40" s="1"/>
      <c r="C40" s="2"/>
      <c r="D40" s="2"/>
      <c r="E40" s="2"/>
      <c r="F40" s="2"/>
      <c r="G40" s="2"/>
      <c r="H40" s="2"/>
      <c r="I40" s="2"/>
      <c r="J40" s="2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ht="9.75" customHeight="1">
      <c r="A41" s="1"/>
      <c r="B41" s="1"/>
      <c r="C41" s="2"/>
      <c r="D41" s="2"/>
      <c r="E41" s="2"/>
      <c r="F41" s="2"/>
      <c r="G41" s="2"/>
      <c r="H41" s="2"/>
      <c r="I41" s="2"/>
      <c r="J41" s="2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ht="9.75" customHeight="1">
      <c r="A42" s="1"/>
      <c r="B42" s="1"/>
      <c r="C42" s="2"/>
      <c r="D42" s="2"/>
      <c r="E42" s="2"/>
      <c r="F42" s="2"/>
      <c r="G42" s="2"/>
      <c r="H42" s="2"/>
      <c r="I42" s="2"/>
      <c r="J42" s="2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ht="9.75" customHeight="1">
      <c r="A43" s="1"/>
      <c r="B43" s="1"/>
      <c r="C43" s="2"/>
      <c r="D43" s="2"/>
      <c r="E43" s="2"/>
      <c r="F43" s="2"/>
      <c r="G43" s="2"/>
      <c r="H43" s="2"/>
      <c r="I43" s="2"/>
      <c r="J43" s="2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ht="9.75" customHeight="1">
      <c r="A44" s="1"/>
      <c r="B44" s="1"/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ht="9.75" customHeight="1">
      <c r="A45" s="1"/>
      <c r="B45" s="1"/>
      <c r="C45" s="2"/>
      <c r="D45" s="2"/>
      <c r="E45" s="2"/>
      <c r="F45" s="2"/>
      <c r="G45" s="2"/>
      <c r="H45" s="2"/>
      <c r="I45" s="2"/>
      <c r="J45" s="2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ht="9.75" customHeight="1">
      <c r="A46" s="1"/>
      <c r="B46" s="1"/>
      <c r="C46" s="2"/>
      <c r="D46" s="2"/>
      <c r="E46" s="2"/>
      <c r="F46" s="2"/>
      <c r="G46" s="2"/>
      <c r="H46" s="2"/>
      <c r="I46" s="2"/>
      <c r="J46" s="2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ht="9.75" customHeight="1">
      <c r="A47" s="1"/>
      <c r="B47" s="1"/>
      <c r="C47" s="2"/>
      <c r="D47" s="2"/>
      <c r="E47" s="2"/>
      <c r="F47" s="2"/>
      <c r="G47" s="2"/>
      <c r="H47" s="2"/>
      <c r="I47" s="2"/>
      <c r="J47" s="2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ht="9.75" customHeight="1">
      <c r="A48" s="1"/>
      <c r="B48" s="1"/>
      <c r="C48" s="2"/>
      <c r="D48" s="2"/>
      <c r="E48" s="2"/>
      <c r="F48" s="2"/>
      <c r="G48" s="2"/>
      <c r="H48" s="2"/>
      <c r="I48" s="2"/>
      <c r="J48" s="2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ht="9.75" customHeight="1">
      <c r="A49" s="1"/>
      <c r="B49" s="1"/>
      <c r="C49" s="2"/>
      <c r="D49" s="2"/>
      <c r="E49" s="2"/>
      <c r="F49" s="2"/>
      <c r="G49" s="2"/>
      <c r="H49" s="2"/>
      <c r="I49" s="2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ht="9.75" customHeight="1">
      <c r="A50" s="1"/>
      <c r="B50" s="1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ht="9.75" customHeight="1">
      <c r="A51" s="1"/>
      <c r="B51" s="1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ht="9.75" customHeight="1">
      <c r="A52" s="1"/>
      <c r="B52" s="1"/>
      <c r="C52" s="2"/>
      <c r="D52" s="2"/>
      <c r="E52" s="2"/>
      <c r="F52" s="2"/>
      <c r="G52" s="2"/>
      <c r="H52" s="2"/>
      <c r="I52" s="2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ht="9.75" customHeight="1">
      <c r="A53" s="1"/>
      <c r="B53" s="1"/>
      <c r="C53" s="2"/>
      <c r="D53" s="2"/>
      <c r="E53" s="2"/>
      <c r="F53" s="2"/>
      <c r="G53" s="2"/>
      <c r="H53" s="2"/>
      <c r="I53" s="2"/>
      <c r="J53" s="2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ht="9.75" customHeight="1">
      <c r="A54" s="1"/>
      <c r="B54" s="1"/>
      <c r="C54" s="2"/>
      <c r="D54" s="2"/>
      <c r="E54" s="2"/>
      <c r="F54" s="2"/>
      <c r="G54" s="2"/>
      <c r="H54" s="2"/>
      <c r="I54" s="2"/>
      <c r="J54" s="2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ht="9.7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ht="9.7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ht="9.7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ht="9.7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ht="9.7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ht="9.7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ht="9.7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ht="9.7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ht="9.7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ht="9.7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ht="9.7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ht="9.7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ht="9.7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ht="9.7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ht="9.7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ht="9.7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ht="9.7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ht="9.7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ht="9.7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ht="9.7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ht="9.7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ht="9.7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ht="9.7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ht="9.7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ht="9.7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ht="9.7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ht="9.7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ht="9.7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ht="9.7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ht="9.7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ht="9.7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ht="9.7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ht="9.7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ht="9.7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ht="9.7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ht="9.7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ht="9.7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ht="9.7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ht="9.7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ht="9.7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ht="9.7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ht="9.7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ht="9.7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ht="9.7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ht="9.7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ht="9.7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</sheetData>
  <mergeCells count="5">
    <mergeCell ref="M2:P2"/>
    <mergeCell ref="M3:P3"/>
    <mergeCell ref="A11:A12"/>
    <mergeCell ref="B11:B12"/>
    <mergeCell ref="C11:P11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financiamiento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2024-09-16T18:38:05Z</dcterms:created>
  <dc:creator>Raul Fernandez</dc:creator>
  <cp:lastModifiedBy>Raul Fernandez</cp:lastModifiedBy>
  <dcterms:modified xsi:type="dcterms:W3CDTF">2024-09-16T19:06:11Z</dcterms:modified>
</cp:coreProperties>
</file>