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AESTRÍA\INGENIERÍA DE COSTOS\"/>
    </mc:Choice>
  </mc:AlternateContent>
  <bookViews>
    <workbookView xWindow="0" yWindow="0" windowWidth="23040" windowHeight="9384"/>
  </bookViews>
  <sheets>
    <sheet name="financiamiento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H5" i="2"/>
  <c r="D7" i="2" l="1"/>
  <c r="D26" i="2"/>
  <c r="D12" i="2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D27" i="2" l="1"/>
  <c r="D28" i="2" s="1"/>
  <c r="B14" i="2"/>
  <c r="E15" i="2"/>
  <c r="E16" i="2" s="1"/>
  <c r="I15" i="2"/>
  <c r="I16" i="2" s="1"/>
  <c r="G15" i="2"/>
  <c r="G16" i="2" s="1"/>
  <c r="H15" i="2"/>
  <c r="H16" i="2" s="1"/>
  <c r="D15" i="2"/>
  <c r="D16" i="2" s="1"/>
  <c r="F15" i="2"/>
  <c r="F16" i="2" s="1"/>
  <c r="C15" i="2" l="1"/>
  <c r="C16" i="2" s="1"/>
  <c r="C17" i="2" s="1"/>
  <c r="C19" i="2" s="1"/>
  <c r="H17" i="2"/>
  <c r="H18" i="2" s="1"/>
  <c r="E17" i="2"/>
  <c r="E18" i="2" s="1"/>
  <c r="D17" i="2"/>
  <c r="D19" i="2" s="1"/>
  <c r="F17" i="2"/>
  <c r="F18" i="2" s="1"/>
  <c r="G17" i="2"/>
  <c r="G18" i="2" s="1"/>
  <c r="I17" i="2"/>
  <c r="I18" i="2" s="1"/>
  <c r="G19" i="2" l="1"/>
  <c r="G20" i="2" s="1"/>
  <c r="G21" i="2" s="1"/>
  <c r="H24" i="2" s="1"/>
  <c r="I26" i="2" s="1"/>
  <c r="C22" i="2"/>
  <c r="D22" i="2" s="1"/>
  <c r="E22" i="2" s="1"/>
  <c r="F22" i="2" s="1"/>
  <c r="G22" i="2" s="1"/>
  <c r="H22" i="2" s="1"/>
  <c r="I22" i="2" s="1"/>
  <c r="B15" i="2"/>
  <c r="B16" i="2" s="1"/>
  <c r="D5" i="2" s="1"/>
  <c r="C18" i="2"/>
  <c r="C20" i="2" s="1"/>
  <c r="E19" i="2"/>
  <c r="E20" i="2" s="1"/>
  <c r="E21" i="2" s="1"/>
  <c r="F24" i="2" s="1"/>
  <c r="G26" i="2" s="1"/>
  <c r="D18" i="2"/>
  <c r="D20" i="2" s="1"/>
  <c r="D21" i="2" s="1"/>
  <c r="E24" i="2" s="1"/>
  <c r="F26" i="2" s="1"/>
  <c r="H19" i="2"/>
  <c r="H20" i="2" s="1"/>
  <c r="H21" i="2" s="1"/>
  <c r="I24" i="2" s="1"/>
  <c r="I19" i="2"/>
  <c r="F19" i="2"/>
  <c r="B17" i="2"/>
  <c r="B18" i="2" l="1"/>
  <c r="I27" i="2"/>
  <c r="I28" i="2" s="1"/>
  <c r="I20" i="2"/>
  <c r="I21" i="2" s="1"/>
  <c r="B19" i="2"/>
  <c r="F20" i="2"/>
  <c r="F21" i="2" s="1"/>
  <c r="G24" i="2" s="1"/>
  <c r="H26" i="2" s="1"/>
  <c r="C21" i="2"/>
  <c r="F27" i="2"/>
  <c r="F28" i="2" s="1"/>
  <c r="G27" i="2"/>
  <c r="G28" i="2" s="1"/>
  <c r="H27" i="2" l="1"/>
  <c r="H28" i="2" s="1"/>
  <c r="B20" i="2"/>
  <c r="D24" i="2"/>
  <c r="B21" i="2"/>
  <c r="D8" i="2" s="1"/>
  <c r="D9" i="2" l="1"/>
  <c r="C25" i="2"/>
  <c r="C28" i="2" s="1"/>
  <c r="C30" i="2" s="1"/>
  <c r="C31" i="2" s="1"/>
  <c r="B24" i="2"/>
  <c r="E26" i="2"/>
  <c r="C33" i="2" l="1"/>
  <c r="C32" i="2"/>
  <c r="D29" i="2"/>
  <c r="D30" i="2" s="1"/>
  <c r="D31" i="2" s="1"/>
  <c r="E27" i="2"/>
  <c r="B27" i="2" s="1"/>
  <c r="B26" i="2"/>
  <c r="C34" i="2" l="1"/>
  <c r="C36" i="2" s="1"/>
  <c r="D33" i="2"/>
  <c r="E29" i="2"/>
  <c r="D32" i="2"/>
  <c r="E28" i="2"/>
  <c r="D34" i="2" l="1"/>
  <c r="D36" i="2" s="1"/>
  <c r="E30" i="2"/>
  <c r="B28" i="2"/>
  <c r="E31" i="2" l="1"/>
  <c r="E33" i="2" l="1"/>
  <c r="F29" i="2"/>
  <c r="F30" i="2" s="1"/>
  <c r="E32" i="2"/>
  <c r="E34" i="2" l="1"/>
  <c r="E36" i="2" s="1"/>
  <c r="F31" i="2"/>
  <c r="F33" i="2" l="1"/>
  <c r="G29" i="2"/>
  <c r="G30" i="2" s="1"/>
  <c r="F32" i="2"/>
  <c r="F34" i="2" l="1"/>
  <c r="F36" i="2" s="1"/>
  <c r="G31" i="2"/>
  <c r="H29" i="2" s="1"/>
  <c r="H30" i="2" l="1"/>
  <c r="G32" i="2"/>
  <c r="G33" i="2"/>
  <c r="G34" i="2" l="1"/>
  <c r="G36" i="2" s="1"/>
  <c r="H31" i="2"/>
  <c r="I29" i="2" l="1"/>
  <c r="I30" i="2" s="1"/>
  <c r="H32" i="2"/>
  <c r="H33" i="2"/>
  <c r="H34" i="2" l="1"/>
  <c r="H36" i="2" s="1"/>
  <c r="I31" i="2"/>
  <c r="I32" i="2" l="1"/>
  <c r="I33" i="2"/>
  <c r="I34" i="2" l="1"/>
  <c r="I36" i="2" s="1"/>
  <c r="I38" i="2" s="1"/>
  <c r="O6" i="2" l="1"/>
</calcChain>
</file>

<file path=xl/comments1.xml><?xml version="1.0" encoding="utf-8"?>
<comments xmlns="http://schemas.openxmlformats.org/spreadsheetml/2006/main">
  <authors>
    <author>Amyndra</author>
  </authors>
  <commentList>
    <comment ref="O5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COPIAR EL DE ABAJO. COPIARLO LAS VECES NECESARIAS  HASTA QUE SE EQUILIBRE 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normalmente es el TIIE
https://dof.gob.mx/indicadores.php#gsc.tab=0</t>
        </r>
      </text>
    </comment>
  </commentList>
</comments>
</file>

<file path=xl/sharedStrings.xml><?xml version="1.0" encoding="utf-8"?>
<sst xmlns="http://schemas.openxmlformats.org/spreadsheetml/2006/main" count="39" uniqueCount="38">
  <si>
    <t>CONTRATISTA:</t>
  </si>
  <si>
    <t>NOMBRE DE LA OBRA:</t>
  </si>
  <si>
    <t xml:space="preserve">TOTAL COSTO DIRECTO + COSTO INDIRECTO </t>
  </si>
  <si>
    <t>INDIRECTO TOTAL:</t>
  </si>
  <si>
    <t>TASA PASIVA DE INTERES MENSUAL:</t>
  </si>
  <si>
    <t>PORCENTAJE DE ANTICIPO:</t>
  </si>
  <si>
    <t>TASA ACTIVA DE INTERES MENSUAL:</t>
  </si>
  <si>
    <t>UTILIDAD:</t>
  </si>
  <si>
    <t>PRECIO DE VENTA:</t>
  </si>
  <si>
    <t>CARGOS ADICIONALES</t>
  </si>
  <si>
    <t>MONTO TOTAL CON IVA:</t>
  </si>
  <si>
    <t xml:space="preserve">INDICADOR ECON. TIIE </t>
  </si>
  <si>
    <t>CONCEPTOS</t>
  </si>
  <si>
    <t>SUMA TOTAL</t>
  </si>
  <si>
    <t>MESES</t>
  </si>
  <si>
    <t>COSTO DIRECTO</t>
  </si>
  <si>
    <t>COSTO INDIRECTO</t>
  </si>
  <si>
    <t>TOTAL CD+CI</t>
  </si>
  <si>
    <t>FINANCIAMIENTO</t>
  </si>
  <si>
    <t>COSTO DE VENTA MENSUAL</t>
  </si>
  <si>
    <t>UTILIDAD</t>
  </si>
  <si>
    <t>PRECIO DE VENTA</t>
  </si>
  <si>
    <t xml:space="preserve">EROGACIONES ACUMULADAS </t>
  </si>
  <si>
    <t xml:space="preserve">ESTIMACIONES DE OBRA PRESENTADA  </t>
  </si>
  <si>
    <t>ANTICIPO</t>
  </si>
  <si>
    <t>COBROS DE ESTIMACIONES</t>
  </si>
  <si>
    <t>AMORTIZACIÓN DE ANTICIPO</t>
  </si>
  <si>
    <t>COBROS</t>
  </si>
  <si>
    <t>MONTO DE INTERES MES ANTERIOR</t>
  </si>
  <si>
    <t>COBROS ACUMULADOS</t>
  </si>
  <si>
    <t>MONTO A FINANCIAR</t>
  </si>
  <si>
    <t>MONTO DE FINANCIAMIENTO A TASA PASIVA</t>
  </si>
  <si>
    <t>MONTO DE FINANCIAMIENTO A TASA ACTIVA</t>
  </si>
  <si>
    <t>MONTO DEL FINANCIAMIENTO ACUMULABLE</t>
  </si>
  <si>
    <t>% POR MES ACUMULABLE</t>
  </si>
  <si>
    <t>% FINANCIAMIENTO</t>
  </si>
  <si>
    <t>INVITACION No. H20-H27-CONSV-02/04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</si>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</sst>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164" formatCode="&quot;$&quot;#,##0.00"/>
    <numFmt numFmtId="165" formatCode="&quot;$&quot;#,##0.0000"/>
    <numFmt numFmtId="166" formatCode="d\-mmm\-yy"/>
    <numFmt numFmtId="167" formatCode="0.0000%"/>
    <numFmt numFmtId="168" formatCode="#,##0.0000"/>
    <numFmt numFmtId="169" formatCode="0.00000%"/>
    <numFmt numFmtId="170" formatCode="[$$-80A]#,##0.00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sz val="8"/>
      <color indexed="12"/>
      <name val="Arial Narrow"/>
      <family val="2"/>
    </font>
    <font>
      <sz val="8"/>
      <name val="Arial Narrow"/>
      <family val="2"/>
    </font>
    <font>
      <sz val="8"/>
      <color indexed="12"/>
      <name val="Arial Narrow"/>
      <family val="2"/>
    </font>
    <font>
      <b/>
      <sz val="8"/>
      <name val="Arial"/>
      <family val="2"/>
    </font>
    <font>
      <sz val="8"/>
      <color indexed="12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3" fillId="0" borderId="1" xfId="0" quotePrefix="1" applyNumberFormat="1" applyFont="1" applyBorder="1" applyAlignment="1">
      <alignment horizontal="right" vertical="center"/>
    </xf>
    <xf numFmtId="164" fontId="4" fillId="0" borderId="2" xfId="0" applyNumberFormat="1" applyFont="1" applyBorder="1" applyAlignment="1" applyProtection="1">
      <alignment horizontal="centerContinuous" vertical="center" wrapText="1"/>
      <protection locked="0"/>
    </xf>
    <xf numFmtId="164" fontId="5" fillId="0" borderId="2" xfId="0" applyNumberFormat="1" applyFont="1" applyBorder="1" applyAlignment="1">
      <alignment horizontal="centerContinuous" vertical="center" wrapText="1"/>
    </xf>
    <xf numFmtId="165" fontId="5" fillId="0" borderId="2" xfId="0" applyNumberFormat="1" applyFont="1" applyBorder="1" applyAlignment="1">
      <alignment horizontal="centerContinuous" vertical="center" wrapText="1"/>
    </xf>
    <xf numFmtId="164" fontId="3" fillId="0" borderId="3" xfId="0" quotePrefix="1" applyNumberFormat="1" applyFont="1" applyBorder="1" applyAlignment="1">
      <alignment horizontal="left" vertical="center"/>
    </xf>
    <xf numFmtId="164" fontId="3" fillId="0" borderId="5" xfId="0" quotePrefix="1" applyNumberFormat="1" applyFont="1" applyBorder="1" applyAlignment="1">
      <alignment horizontal="right" vertical="center"/>
    </xf>
    <xf numFmtId="164" fontId="4" fillId="0" borderId="6" xfId="0" applyNumberFormat="1" applyFont="1" applyBorder="1" applyAlignment="1" applyProtection="1">
      <alignment horizontal="centerContinuous" vertical="center" wrapText="1"/>
      <protection locked="0"/>
    </xf>
    <xf numFmtId="164" fontId="5" fillId="0" borderId="6" xfId="0" applyNumberFormat="1" applyFont="1" applyBorder="1" applyAlignment="1">
      <alignment horizontal="centerContinuous" vertical="center" wrapText="1"/>
    </xf>
    <xf numFmtId="164" fontId="5" fillId="0" borderId="0" xfId="0" applyNumberFormat="1" applyFont="1" applyAlignment="1">
      <alignment horizontal="centerContinuous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1" xfId="0" applyNumberFormat="1" applyFont="1" applyBorder="1"/>
    <xf numFmtId="164" fontId="2" fillId="0" borderId="10" xfId="0" applyNumberFormat="1" applyFont="1" applyBorder="1"/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/>
    <xf numFmtId="164" fontId="3" fillId="0" borderId="5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right" vertical="center"/>
    </xf>
    <xf numFmtId="164" fontId="3" fillId="0" borderId="0" xfId="0" applyNumberFormat="1" applyFont="1"/>
    <xf numFmtId="164" fontId="2" fillId="0" borderId="13" xfId="0" applyNumberFormat="1" applyFont="1" applyBorder="1"/>
    <xf numFmtId="168" fontId="3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167" fontId="2" fillId="0" borderId="0" xfId="0" applyNumberFormat="1" applyFont="1"/>
    <xf numFmtId="10" fontId="2" fillId="0" borderId="0" xfId="0" applyNumberFormat="1" applyFont="1" applyAlignment="1">
      <alignment horizontal="center"/>
    </xf>
    <xf numFmtId="165" fontId="2" fillId="0" borderId="0" xfId="0" applyNumberFormat="1" applyFont="1"/>
    <xf numFmtId="164" fontId="3" fillId="0" borderId="0" xfId="0" applyNumberFormat="1" applyFont="1" applyAlignment="1">
      <alignment horizontal="center"/>
    </xf>
    <xf numFmtId="164" fontId="2" fillId="0" borderId="7" xfId="0" applyNumberFormat="1" applyFont="1" applyBorder="1"/>
    <xf numFmtId="164" fontId="2" fillId="0" borderId="8" xfId="0" applyNumberFormat="1" applyFont="1" applyBorder="1"/>
    <xf numFmtId="164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/>
    <xf numFmtId="0" fontId="3" fillId="0" borderId="15" xfId="0" applyFont="1" applyBorder="1" applyAlignment="1">
      <alignment horizontal="centerContinuous" vertical="center"/>
    </xf>
    <xf numFmtId="164" fontId="2" fillId="0" borderId="15" xfId="0" applyNumberFormat="1" applyFont="1" applyBorder="1" applyAlignment="1">
      <alignment horizontal="centerContinuous" vertical="center"/>
    </xf>
    <xf numFmtId="169" fontId="2" fillId="0" borderId="15" xfId="0" applyNumberFormat="1" applyFont="1" applyBorder="1" applyAlignment="1">
      <alignment horizontal="centerContinuous" vertical="center"/>
    </xf>
    <xf numFmtId="164" fontId="2" fillId="0" borderId="16" xfId="0" applyNumberFormat="1" applyFont="1" applyBorder="1" applyAlignment="1">
      <alignment horizontal="centerContinuous" vertical="center"/>
    </xf>
    <xf numFmtId="3" fontId="3" fillId="0" borderId="19" xfId="0" applyNumberFormat="1" applyFont="1" applyBorder="1" applyAlignment="1">
      <alignment horizontal="center"/>
    </xf>
    <xf numFmtId="164" fontId="2" fillId="0" borderId="14" xfId="0" applyNumberFormat="1" applyFont="1" applyBorder="1"/>
    <xf numFmtId="164" fontId="2" fillId="0" borderId="20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21" xfId="0" applyNumberFormat="1" applyFont="1" applyBorder="1"/>
    <xf numFmtId="164" fontId="3" fillId="0" borderId="22" xfId="0" applyNumberFormat="1" applyFont="1" applyBorder="1" applyAlignment="1">
      <alignment horizontal="left" vertical="center"/>
    </xf>
    <xf numFmtId="164" fontId="2" fillId="0" borderId="22" xfId="0" applyNumberFormat="1" applyFont="1" applyBorder="1" applyAlignment="1">
      <alignment vertical="center"/>
    </xf>
    <xf numFmtId="170" fontId="8" fillId="0" borderId="23" xfId="0" applyNumberFormat="1" applyFont="1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/>
      <protection locked="0"/>
    </xf>
    <xf numFmtId="164" fontId="3" fillId="0" borderId="25" xfId="0" applyNumberFormat="1" applyFont="1" applyBorder="1" applyAlignment="1">
      <alignment horizontal="left" vertical="center"/>
    </xf>
    <xf numFmtId="164" fontId="2" fillId="0" borderId="25" xfId="0" applyNumberFormat="1" applyFont="1" applyBorder="1" applyAlignment="1">
      <alignment vertical="center"/>
    </xf>
    <xf numFmtId="170" fontId="2" fillId="0" borderId="26" xfId="1" applyNumberFormat="1" applyFont="1" applyFill="1" applyBorder="1" applyAlignment="1" applyProtection="1">
      <alignment horizontal="center" vertical="center"/>
    </xf>
    <xf numFmtId="170" fontId="2" fillId="0" borderId="27" xfId="1" applyNumberFormat="1" applyFont="1" applyFill="1" applyBorder="1" applyAlignment="1" applyProtection="1">
      <alignment horizontal="center" vertical="center"/>
    </xf>
    <xf numFmtId="170" fontId="2" fillId="0" borderId="28" xfId="1" applyNumberFormat="1" applyFont="1" applyFill="1" applyBorder="1" applyAlignment="1" applyProtection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70" fontId="2" fillId="0" borderId="30" xfId="1" applyNumberFormat="1" applyFont="1" applyFill="1" applyBorder="1" applyAlignment="1" applyProtection="1">
      <alignment horizontal="center" vertical="center"/>
    </xf>
    <xf numFmtId="164" fontId="3" fillId="0" borderId="25" xfId="0" applyNumberFormat="1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70" fontId="2" fillId="0" borderId="31" xfId="0" applyNumberFormat="1" applyFont="1" applyBorder="1" applyAlignment="1">
      <alignment horizontal="center" vertical="center" wrapText="1"/>
    </xf>
    <xf numFmtId="170" fontId="2" fillId="0" borderId="32" xfId="0" applyNumberFormat="1" applyFont="1" applyBorder="1" applyAlignment="1">
      <alignment horizontal="center" vertical="center" wrapText="1"/>
    </xf>
    <xf numFmtId="170" fontId="2" fillId="0" borderId="33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left" vertical="center"/>
    </xf>
    <xf numFmtId="164" fontId="2" fillId="0" borderId="34" xfId="0" applyNumberFormat="1" applyFont="1" applyBorder="1" applyAlignment="1">
      <alignment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0" borderId="37" xfId="0" applyNumberFormat="1" applyFont="1" applyBorder="1"/>
    <xf numFmtId="164" fontId="3" fillId="0" borderId="22" xfId="0" applyNumberFormat="1" applyFont="1" applyBorder="1" applyAlignment="1">
      <alignment horizontal="left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38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7" fontId="2" fillId="0" borderId="18" xfId="0" applyNumberFormat="1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167" fontId="2" fillId="0" borderId="40" xfId="0" applyNumberFormat="1" applyFont="1" applyBorder="1" applyAlignment="1">
      <alignment horizontal="center" vertical="center"/>
    </xf>
    <xf numFmtId="164" fontId="2" fillId="0" borderId="34" xfId="0" applyNumberFormat="1" applyFont="1" applyBorder="1"/>
    <xf numFmtId="164" fontId="2" fillId="0" borderId="11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left"/>
    </xf>
    <xf numFmtId="164" fontId="2" fillId="0" borderId="17" xfId="0" applyNumberFormat="1" applyFont="1" applyBorder="1"/>
    <xf numFmtId="164" fontId="3" fillId="0" borderId="8" xfId="0" applyNumberFormat="1" applyFont="1" applyBorder="1" applyAlignment="1">
      <alignment horizontal="center"/>
    </xf>
    <xf numFmtId="10" fontId="3" fillId="0" borderId="8" xfId="0" applyNumberFormat="1" applyFont="1" applyBorder="1" applyAlignment="1">
      <alignment horizontal="center"/>
    </xf>
    <xf numFmtId="167" fontId="3" fillId="0" borderId="8" xfId="0" applyNumberFormat="1" applyFont="1" applyBorder="1" applyAlignment="1">
      <alignment horizontal="center"/>
    </xf>
    <xf numFmtId="167" fontId="3" fillId="0" borderId="9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0" fontId="5" fillId="0" borderId="0" xfId="0" applyFont="1"/>
    <xf numFmtId="44" fontId="2" fillId="0" borderId="0" xfId="1" applyFont="1" applyFill="1" applyProtection="1"/>
    <xf numFmtId="10" fontId="2" fillId="0" borderId="0" xfId="0" applyNumberFormat="1" applyFont="1"/>
    <xf numFmtId="164" fontId="2" fillId="0" borderId="0" xfId="0" applyNumberFormat="1" applyFont="1" applyAlignment="1">
      <alignment horizontal="center" vertical="center" wrapText="1"/>
    </xf>
    <xf numFmtId="167" fontId="5" fillId="0" borderId="12" xfId="0" applyNumberFormat="1" applyFont="1" applyBorder="1" applyAlignment="1" applyProtection="1">
      <alignment horizontal="right" vertical="center"/>
      <protection locked="0"/>
    </xf>
    <xf numFmtId="3" fontId="3" fillId="0" borderId="18" xfId="0" applyNumberFormat="1" applyFont="1" applyFill="1" applyBorder="1" applyAlignment="1">
      <alignment horizontal="center"/>
    </xf>
    <xf numFmtId="3" fontId="3" fillId="0" borderId="19" xfId="0" applyNumberFormat="1" applyFont="1" applyFill="1" applyBorder="1" applyAlignment="1">
      <alignment horizontal="center"/>
    </xf>
    <xf numFmtId="170" fontId="8" fillId="2" borderId="23" xfId="0" applyNumberFormat="1" applyFont="1" applyFill="1" applyBorder="1" applyAlignment="1" applyProtection="1">
      <alignment horizontal="center" vertical="center"/>
      <protection locked="0"/>
    </xf>
    <xf numFmtId="167" fontId="6" fillId="2" borderId="12" xfId="0" applyNumberFormat="1" applyFont="1" applyFill="1" applyBorder="1" applyAlignment="1" applyProtection="1">
      <alignment horizontal="right" vertical="center"/>
      <protection locked="0"/>
    </xf>
    <xf numFmtId="10" fontId="6" fillId="2" borderId="12" xfId="0" applyNumberFormat="1" applyFont="1" applyFill="1" applyBorder="1" applyProtection="1">
      <protection locked="0"/>
    </xf>
    <xf numFmtId="167" fontId="6" fillId="2" borderId="12" xfId="0" applyNumberFormat="1" applyFont="1" applyFill="1" applyBorder="1" applyProtection="1">
      <protection locked="0"/>
    </xf>
    <xf numFmtId="167" fontId="6" fillId="2" borderId="12" xfId="2" applyNumberFormat="1" applyFont="1" applyFill="1" applyBorder="1" applyAlignment="1" applyProtection="1">
      <alignment horizontal="right"/>
      <protection locked="0"/>
    </xf>
    <xf numFmtId="10" fontId="6" fillId="2" borderId="12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166" fontId="4" fillId="0" borderId="7" xfId="0" applyNumberFormat="1" applyFont="1" applyBorder="1" applyAlignment="1" applyProtection="1">
      <alignment horizontal="center" vertical="center" wrapText="1"/>
      <protection locked="0"/>
    </xf>
    <xf numFmtId="166" fontId="4" fillId="0" borderId="8" xfId="0" applyNumberFormat="1" applyFont="1" applyBorder="1" applyAlignment="1" applyProtection="1">
      <alignment horizontal="center" vertical="center" wrapText="1"/>
      <protection locked="0"/>
    </xf>
    <xf numFmtId="166" fontId="4" fillId="0" borderId="9" xfId="0" applyNumberFormat="1" applyFont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38"/>
  <sheetViews>
    <sheetView tabSelected="1" topLeftCell="A19" workbookViewId="0">
      <selection activeCell="B16" sqref="B16"/>
    </sheetView>
  </sheetViews>
  <sheetFormatPr baseColWidth="10" defaultColWidth="11.3984375" defaultRowHeight="10.199999999999999"/>
  <cols>
    <col min="1" max="1" width="22.59765625" style="1" customWidth="1"/>
    <col min="2" max="2" width="12.69921875" style="1" customWidth="1"/>
    <col min="3" max="11" width="12.69921875" style="2" customWidth="1"/>
    <col min="12" max="16" width="12.69921875" style="1" customWidth="1"/>
    <col min="17" max="256" width="11.3984375" style="1"/>
    <col min="257" max="257" width="22.59765625" style="1" customWidth="1"/>
    <col min="258" max="272" width="12.69921875" style="1" customWidth="1"/>
    <col min="273" max="512" width="11.3984375" style="1"/>
    <col min="513" max="513" width="22.59765625" style="1" customWidth="1"/>
    <col min="514" max="528" width="12.69921875" style="1" customWidth="1"/>
    <col min="529" max="768" width="11.3984375" style="1"/>
    <col min="769" max="769" width="22.59765625" style="1" customWidth="1"/>
    <col min="770" max="784" width="12.69921875" style="1" customWidth="1"/>
    <col min="785" max="1024" width="11.3984375" style="1"/>
    <col min="1025" max="1025" width="22.59765625" style="1" customWidth="1"/>
    <col min="1026" max="1040" width="12.69921875" style="1" customWidth="1"/>
    <col min="1041" max="1280" width="11.3984375" style="1"/>
    <col min="1281" max="1281" width="22.59765625" style="1" customWidth="1"/>
    <col min="1282" max="1296" width="12.69921875" style="1" customWidth="1"/>
    <col min="1297" max="1536" width="11.3984375" style="1"/>
    <col min="1537" max="1537" width="22.59765625" style="1" customWidth="1"/>
    <col min="1538" max="1552" width="12.69921875" style="1" customWidth="1"/>
    <col min="1553" max="1792" width="11.3984375" style="1"/>
    <col min="1793" max="1793" width="22.59765625" style="1" customWidth="1"/>
    <col min="1794" max="1808" width="12.69921875" style="1" customWidth="1"/>
    <col min="1809" max="2048" width="11.3984375" style="1"/>
    <col min="2049" max="2049" width="22.59765625" style="1" customWidth="1"/>
    <col min="2050" max="2064" width="12.69921875" style="1" customWidth="1"/>
    <col min="2065" max="2304" width="11.3984375" style="1"/>
    <col min="2305" max="2305" width="22.59765625" style="1" customWidth="1"/>
    <col min="2306" max="2320" width="12.69921875" style="1" customWidth="1"/>
    <col min="2321" max="2560" width="11.3984375" style="1"/>
    <col min="2561" max="2561" width="22.59765625" style="1" customWidth="1"/>
    <col min="2562" max="2576" width="12.69921875" style="1" customWidth="1"/>
    <col min="2577" max="2816" width="11.3984375" style="1"/>
    <col min="2817" max="2817" width="22.59765625" style="1" customWidth="1"/>
    <col min="2818" max="2832" width="12.69921875" style="1" customWidth="1"/>
    <col min="2833" max="3072" width="11.3984375" style="1"/>
    <col min="3073" max="3073" width="22.59765625" style="1" customWidth="1"/>
    <col min="3074" max="3088" width="12.69921875" style="1" customWidth="1"/>
    <col min="3089" max="3328" width="11.3984375" style="1"/>
    <col min="3329" max="3329" width="22.59765625" style="1" customWidth="1"/>
    <col min="3330" max="3344" width="12.69921875" style="1" customWidth="1"/>
    <col min="3345" max="3584" width="11.3984375" style="1"/>
    <col min="3585" max="3585" width="22.59765625" style="1" customWidth="1"/>
    <col min="3586" max="3600" width="12.69921875" style="1" customWidth="1"/>
    <col min="3601" max="3840" width="11.3984375" style="1"/>
    <col min="3841" max="3841" width="22.59765625" style="1" customWidth="1"/>
    <col min="3842" max="3856" width="12.69921875" style="1" customWidth="1"/>
    <col min="3857" max="4096" width="11.3984375" style="1"/>
    <col min="4097" max="4097" width="22.59765625" style="1" customWidth="1"/>
    <col min="4098" max="4112" width="12.69921875" style="1" customWidth="1"/>
    <col min="4113" max="4352" width="11.3984375" style="1"/>
    <col min="4353" max="4353" width="22.59765625" style="1" customWidth="1"/>
    <col min="4354" max="4368" width="12.69921875" style="1" customWidth="1"/>
    <col min="4369" max="4608" width="11.3984375" style="1"/>
    <col min="4609" max="4609" width="22.59765625" style="1" customWidth="1"/>
    <col min="4610" max="4624" width="12.69921875" style="1" customWidth="1"/>
    <col min="4625" max="4864" width="11.3984375" style="1"/>
    <col min="4865" max="4865" width="22.59765625" style="1" customWidth="1"/>
    <col min="4866" max="4880" width="12.69921875" style="1" customWidth="1"/>
    <col min="4881" max="5120" width="11.3984375" style="1"/>
    <col min="5121" max="5121" width="22.59765625" style="1" customWidth="1"/>
    <col min="5122" max="5136" width="12.69921875" style="1" customWidth="1"/>
    <col min="5137" max="5376" width="11.3984375" style="1"/>
    <col min="5377" max="5377" width="22.59765625" style="1" customWidth="1"/>
    <col min="5378" max="5392" width="12.69921875" style="1" customWidth="1"/>
    <col min="5393" max="5632" width="11.3984375" style="1"/>
    <col min="5633" max="5633" width="22.59765625" style="1" customWidth="1"/>
    <col min="5634" max="5648" width="12.69921875" style="1" customWidth="1"/>
    <col min="5649" max="5888" width="11.3984375" style="1"/>
    <col min="5889" max="5889" width="22.59765625" style="1" customWidth="1"/>
    <col min="5890" max="5904" width="12.69921875" style="1" customWidth="1"/>
    <col min="5905" max="6144" width="11.3984375" style="1"/>
    <col min="6145" max="6145" width="22.59765625" style="1" customWidth="1"/>
    <col min="6146" max="6160" width="12.69921875" style="1" customWidth="1"/>
    <col min="6161" max="6400" width="11.3984375" style="1"/>
    <col min="6401" max="6401" width="22.59765625" style="1" customWidth="1"/>
    <col min="6402" max="6416" width="12.69921875" style="1" customWidth="1"/>
    <col min="6417" max="6656" width="11.3984375" style="1"/>
    <col min="6657" max="6657" width="22.59765625" style="1" customWidth="1"/>
    <col min="6658" max="6672" width="12.69921875" style="1" customWidth="1"/>
    <col min="6673" max="6912" width="11.3984375" style="1"/>
    <col min="6913" max="6913" width="22.59765625" style="1" customWidth="1"/>
    <col min="6914" max="6928" width="12.69921875" style="1" customWidth="1"/>
    <col min="6929" max="7168" width="11.3984375" style="1"/>
    <col min="7169" max="7169" width="22.59765625" style="1" customWidth="1"/>
    <col min="7170" max="7184" width="12.69921875" style="1" customWidth="1"/>
    <col min="7185" max="7424" width="11.3984375" style="1"/>
    <col min="7425" max="7425" width="22.59765625" style="1" customWidth="1"/>
    <col min="7426" max="7440" width="12.69921875" style="1" customWidth="1"/>
    <col min="7441" max="7680" width="11.3984375" style="1"/>
    <col min="7681" max="7681" width="22.59765625" style="1" customWidth="1"/>
    <col min="7682" max="7696" width="12.69921875" style="1" customWidth="1"/>
    <col min="7697" max="7936" width="11.3984375" style="1"/>
    <col min="7937" max="7937" width="22.59765625" style="1" customWidth="1"/>
    <col min="7938" max="7952" width="12.69921875" style="1" customWidth="1"/>
    <col min="7953" max="8192" width="11.3984375" style="1"/>
    <col min="8193" max="8193" width="22.59765625" style="1" customWidth="1"/>
    <col min="8194" max="8208" width="12.69921875" style="1" customWidth="1"/>
    <col min="8209" max="8448" width="11.3984375" style="1"/>
    <col min="8449" max="8449" width="22.59765625" style="1" customWidth="1"/>
    <col min="8450" max="8464" width="12.69921875" style="1" customWidth="1"/>
    <col min="8465" max="8704" width="11.3984375" style="1"/>
    <col min="8705" max="8705" width="22.59765625" style="1" customWidth="1"/>
    <col min="8706" max="8720" width="12.69921875" style="1" customWidth="1"/>
    <col min="8721" max="8960" width="11.3984375" style="1"/>
    <col min="8961" max="8961" width="22.59765625" style="1" customWidth="1"/>
    <col min="8962" max="8976" width="12.69921875" style="1" customWidth="1"/>
    <col min="8977" max="9216" width="11.3984375" style="1"/>
    <col min="9217" max="9217" width="22.59765625" style="1" customWidth="1"/>
    <col min="9218" max="9232" width="12.69921875" style="1" customWidth="1"/>
    <col min="9233" max="9472" width="11.3984375" style="1"/>
    <col min="9473" max="9473" width="22.59765625" style="1" customWidth="1"/>
    <col min="9474" max="9488" width="12.69921875" style="1" customWidth="1"/>
    <col min="9489" max="9728" width="11.3984375" style="1"/>
    <col min="9729" max="9729" width="22.59765625" style="1" customWidth="1"/>
    <col min="9730" max="9744" width="12.69921875" style="1" customWidth="1"/>
    <col min="9745" max="9984" width="11.3984375" style="1"/>
    <col min="9985" max="9985" width="22.59765625" style="1" customWidth="1"/>
    <col min="9986" max="10000" width="12.69921875" style="1" customWidth="1"/>
    <col min="10001" max="10240" width="11.3984375" style="1"/>
    <col min="10241" max="10241" width="22.59765625" style="1" customWidth="1"/>
    <col min="10242" max="10256" width="12.69921875" style="1" customWidth="1"/>
    <col min="10257" max="10496" width="11.3984375" style="1"/>
    <col min="10497" max="10497" width="22.59765625" style="1" customWidth="1"/>
    <col min="10498" max="10512" width="12.69921875" style="1" customWidth="1"/>
    <col min="10513" max="10752" width="11.3984375" style="1"/>
    <col min="10753" max="10753" width="22.59765625" style="1" customWidth="1"/>
    <col min="10754" max="10768" width="12.69921875" style="1" customWidth="1"/>
    <col min="10769" max="11008" width="11.3984375" style="1"/>
    <col min="11009" max="11009" width="22.59765625" style="1" customWidth="1"/>
    <col min="11010" max="11024" width="12.69921875" style="1" customWidth="1"/>
    <col min="11025" max="11264" width="11.3984375" style="1"/>
    <col min="11265" max="11265" width="22.59765625" style="1" customWidth="1"/>
    <col min="11266" max="11280" width="12.69921875" style="1" customWidth="1"/>
    <col min="11281" max="11520" width="11.3984375" style="1"/>
    <col min="11521" max="11521" width="22.59765625" style="1" customWidth="1"/>
    <col min="11522" max="11536" width="12.69921875" style="1" customWidth="1"/>
    <col min="11537" max="11776" width="11.3984375" style="1"/>
    <col min="11777" max="11777" width="22.59765625" style="1" customWidth="1"/>
    <col min="11778" max="11792" width="12.69921875" style="1" customWidth="1"/>
    <col min="11793" max="12032" width="11.3984375" style="1"/>
    <col min="12033" max="12033" width="22.59765625" style="1" customWidth="1"/>
    <col min="12034" max="12048" width="12.69921875" style="1" customWidth="1"/>
    <col min="12049" max="12288" width="11.3984375" style="1"/>
    <col min="12289" max="12289" width="22.59765625" style="1" customWidth="1"/>
    <col min="12290" max="12304" width="12.69921875" style="1" customWidth="1"/>
    <col min="12305" max="12544" width="11.3984375" style="1"/>
    <col min="12545" max="12545" width="22.59765625" style="1" customWidth="1"/>
    <col min="12546" max="12560" width="12.69921875" style="1" customWidth="1"/>
    <col min="12561" max="12800" width="11.3984375" style="1"/>
    <col min="12801" max="12801" width="22.59765625" style="1" customWidth="1"/>
    <col min="12802" max="12816" width="12.69921875" style="1" customWidth="1"/>
    <col min="12817" max="13056" width="11.3984375" style="1"/>
    <col min="13057" max="13057" width="22.59765625" style="1" customWidth="1"/>
    <col min="13058" max="13072" width="12.69921875" style="1" customWidth="1"/>
    <col min="13073" max="13312" width="11.3984375" style="1"/>
    <col min="13313" max="13313" width="22.59765625" style="1" customWidth="1"/>
    <col min="13314" max="13328" width="12.69921875" style="1" customWidth="1"/>
    <col min="13329" max="13568" width="11.3984375" style="1"/>
    <col min="13569" max="13569" width="22.59765625" style="1" customWidth="1"/>
    <col min="13570" max="13584" width="12.69921875" style="1" customWidth="1"/>
    <col min="13585" max="13824" width="11.3984375" style="1"/>
    <col min="13825" max="13825" width="22.59765625" style="1" customWidth="1"/>
    <col min="13826" max="13840" width="12.69921875" style="1" customWidth="1"/>
    <col min="13841" max="14080" width="11.3984375" style="1"/>
    <col min="14081" max="14081" width="22.59765625" style="1" customWidth="1"/>
    <col min="14082" max="14096" width="12.69921875" style="1" customWidth="1"/>
    <col min="14097" max="14336" width="11.3984375" style="1"/>
    <col min="14337" max="14337" width="22.59765625" style="1" customWidth="1"/>
    <col min="14338" max="14352" width="12.69921875" style="1" customWidth="1"/>
    <col min="14353" max="14592" width="11.3984375" style="1"/>
    <col min="14593" max="14593" width="22.59765625" style="1" customWidth="1"/>
    <col min="14594" max="14608" width="12.69921875" style="1" customWidth="1"/>
    <col min="14609" max="14848" width="11.3984375" style="1"/>
    <col min="14849" max="14849" width="22.59765625" style="1" customWidth="1"/>
    <col min="14850" max="14864" width="12.69921875" style="1" customWidth="1"/>
    <col min="14865" max="15104" width="11.3984375" style="1"/>
    <col min="15105" max="15105" width="22.59765625" style="1" customWidth="1"/>
    <col min="15106" max="15120" width="12.69921875" style="1" customWidth="1"/>
    <col min="15121" max="15360" width="11.3984375" style="1"/>
    <col min="15361" max="15361" width="22.59765625" style="1" customWidth="1"/>
    <col min="15362" max="15376" width="12.69921875" style="1" customWidth="1"/>
    <col min="15377" max="15616" width="11.3984375" style="1"/>
    <col min="15617" max="15617" width="22.59765625" style="1" customWidth="1"/>
    <col min="15618" max="15632" width="12.69921875" style="1" customWidth="1"/>
    <col min="15633" max="15872" width="11.3984375" style="1"/>
    <col min="15873" max="15873" width="22.59765625" style="1" customWidth="1"/>
    <col min="15874" max="15888" width="12.69921875" style="1" customWidth="1"/>
    <col min="15889" max="16128" width="11.3984375" style="1"/>
    <col min="16129" max="16129" width="22.59765625" style="1" customWidth="1"/>
    <col min="16130" max="16144" width="12.69921875" style="1" customWidth="1"/>
    <col min="16145" max="16384" width="11.3984375" style="1"/>
  </cols>
  <sheetData>
    <row r="1" spans="1:65" ht="5.0999999999999996" customHeight="1" thickBot="1"/>
    <row r="2" spans="1:65" s="93" customFormat="1">
      <c r="A2" s="3" t="s">
        <v>0</v>
      </c>
      <c r="B2" s="4"/>
      <c r="C2" s="5"/>
      <c r="D2" s="6"/>
      <c r="E2" s="5"/>
      <c r="F2" s="5"/>
      <c r="G2" s="5"/>
      <c r="H2" s="5"/>
      <c r="I2" s="5"/>
      <c r="J2" s="5"/>
      <c r="K2" s="5"/>
      <c r="L2" s="7"/>
      <c r="M2" s="107"/>
      <c r="N2" s="108"/>
      <c r="O2" s="108"/>
      <c r="P2" s="109"/>
    </row>
    <row r="3" spans="1:65" s="93" customFormat="1" ht="10.8" thickBot="1">
      <c r="A3" s="8" t="s">
        <v>1</v>
      </c>
      <c r="B3" s="9"/>
      <c r="C3" s="10"/>
      <c r="D3" s="10"/>
      <c r="E3" s="10"/>
      <c r="F3" s="10"/>
      <c r="G3" s="10"/>
      <c r="H3" s="10"/>
      <c r="I3" s="10"/>
      <c r="J3" s="11"/>
      <c r="K3" s="11"/>
      <c r="L3" s="12"/>
      <c r="M3" s="110"/>
      <c r="N3" s="111"/>
      <c r="O3" s="111"/>
      <c r="P3" s="112"/>
    </row>
    <row r="4" spans="1:65" ht="5.0999999999999996" customHeight="1" thickBot="1">
      <c r="A4" s="13"/>
      <c r="B4" s="14"/>
      <c r="C4" s="15"/>
      <c r="D4" s="15"/>
      <c r="E4" s="15"/>
      <c r="F4" s="15"/>
      <c r="G4" s="15"/>
      <c r="H4" s="15"/>
      <c r="I4" s="15"/>
      <c r="J4" s="15"/>
      <c r="K4" s="15"/>
      <c r="L4" s="14"/>
      <c r="M4" s="14"/>
      <c r="N4" s="14"/>
      <c r="O4" s="14"/>
      <c r="P4" s="16"/>
    </row>
    <row r="5" spans="1:65" ht="14.4" customHeight="1" thickBot="1">
      <c r="A5" s="17" t="s">
        <v>2</v>
      </c>
      <c r="B5" s="18"/>
      <c r="D5" s="19">
        <f>B16</f>
        <v>5440000</v>
      </c>
      <c r="E5" s="20"/>
      <c r="F5" s="18" t="s">
        <v>3</v>
      </c>
      <c r="H5" s="102">
        <f>0.15+0.21</f>
        <v>0.36</v>
      </c>
      <c r="I5" s="1"/>
      <c r="J5" s="1"/>
      <c r="K5" s="1"/>
      <c r="L5" s="20"/>
      <c r="O5" s="106">
        <v>5.5999999999999999E-3</v>
      </c>
      <c r="P5" s="21"/>
      <c r="R5" s="1" t="s">
        <v>36</v>
      </c>
    </row>
    <row r="6" spans="1:65" ht="14.4" customHeight="1" thickBot="1">
      <c r="A6" s="17" t="s">
        <v>4</v>
      </c>
      <c r="B6" s="18"/>
      <c r="D6" s="98">
        <f>H9/12</f>
        <v>8.9530833333333337E-3</v>
      </c>
      <c r="E6" s="22"/>
      <c r="F6" s="20" t="s">
        <v>5</v>
      </c>
      <c r="H6" s="103">
        <v>0.3</v>
      </c>
      <c r="I6" s="1"/>
      <c r="J6" s="1"/>
      <c r="K6" s="1"/>
      <c r="L6" s="20"/>
      <c r="O6" s="23">
        <f>I38</f>
        <v>5.5706338832130055E-3</v>
      </c>
      <c r="P6" s="21"/>
      <c r="S6" s="24"/>
    </row>
    <row r="7" spans="1:65" ht="14.4" customHeight="1" thickBot="1">
      <c r="A7" s="17" t="s">
        <v>6</v>
      </c>
      <c r="B7" s="18"/>
      <c r="D7" s="102">
        <f>D6+0.05/12</f>
        <v>1.3119749999999999E-2</v>
      </c>
      <c r="E7" s="22"/>
      <c r="F7" s="20" t="s">
        <v>7</v>
      </c>
      <c r="G7" s="1"/>
      <c r="H7" s="104">
        <v>0.1</v>
      </c>
      <c r="I7" s="1"/>
      <c r="J7" s="1"/>
      <c r="K7" s="1"/>
      <c r="L7" s="20"/>
      <c r="O7" s="24"/>
      <c r="P7" s="21"/>
      <c r="S7" s="24"/>
    </row>
    <row r="8" spans="1:65" ht="14.4" customHeight="1" thickBot="1">
      <c r="A8" s="17" t="s">
        <v>8</v>
      </c>
      <c r="B8" s="18"/>
      <c r="D8" s="19">
        <f>B21</f>
        <v>6017510.4000000004</v>
      </c>
      <c r="E8" s="25"/>
      <c r="F8" s="20" t="s">
        <v>9</v>
      </c>
      <c r="G8" s="1"/>
      <c r="H8" s="103">
        <v>0</v>
      </c>
      <c r="I8" s="1"/>
      <c r="J8" s="1"/>
      <c r="K8" s="1"/>
      <c r="L8" s="20"/>
      <c r="N8" s="26"/>
      <c r="O8" s="24"/>
      <c r="P8" s="21"/>
      <c r="S8" s="24"/>
    </row>
    <row r="9" spans="1:65" ht="14.4" customHeight="1" thickBot="1">
      <c r="A9" s="17" t="s">
        <v>10</v>
      </c>
      <c r="B9" s="18"/>
      <c r="D9" s="19">
        <f>+D8*1.16</f>
        <v>6980312.0640000002</v>
      </c>
      <c r="F9" s="20" t="s">
        <v>11</v>
      </c>
      <c r="G9" s="27"/>
      <c r="H9" s="105">
        <v>0.107437</v>
      </c>
      <c r="I9" s="1"/>
      <c r="J9" s="1"/>
      <c r="K9" s="1"/>
      <c r="L9" s="27"/>
      <c r="O9" s="24"/>
      <c r="P9" s="21"/>
      <c r="S9" s="24"/>
    </row>
    <row r="10" spans="1:65" ht="5.0999999999999996" customHeight="1" thickBot="1">
      <c r="A10" s="28"/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29"/>
      <c r="M10" s="29"/>
      <c r="N10" s="29"/>
      <c r="O10" s="29"/>
      <c r="P10" s="31"/>
    </row>
    <row r="11" spans="1:65" ht="10.8" thickBot="1">
      <c r="A11" s="113" t="s">
        <v>12</v>
      </c>
      <c r="B11" s="115" t="s">
        <v>13</v>
      </c>
      <c r="C11" s="32" t="s">
        <v>14</v>
      </c>
      <c r="D11" s="33"/>
      <c r="E11" s="33"/>
      <c r="F11" s="33"/>
      <c r="G11" s="33"/>
      <c r="H11" s="33"/>
      <c r="I11" s="33"/>
      <c r="J11" s="33"/>
      <c r="K11" s="33"/>
      <c r="L11" s="33"/>
      <c r="M11" s="34"/>
      <c r="N11" s="33"/>
      <c r="O11" s="33"/>
      <c r="P11" s="35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</row>
    <row r="12" spans="1:65" ht="10.8" thickBot="1">
      <c r="A12" s="114"/>
      <c r="B12" s="114"/>
      <c r="C12" s="99">
        <v>1</v>
      </c>
      <c r="D12" s="100">
        <f>+C12+1</f>
        <v>2</v>
      </c>
      <c r="E12" s="100">
        <f t="shared" ref="E12:P12" si="0">+D12+1</f>
        <v>3</v>
      </c>
      <c r="F12" s="100">
        <f t="shared" si="0"/>
        <v>4</v>
      </c>
      <c r="G12" s="100">
        <f t="shared" si="0"/>
        <v>5</v>
      </c>
      <c r="H12" s="36">
        <f t="shared" si="0"/>
        <v>6</v>
      </c>
      <c r="I12" s="36">
        <f t="shared" si="0"/>
        <v>7</v>
      </c>
      <c r="J12" s="36">
        <f t="shared" si="0"/>
        <v>8</v>
      </c>
      <c r="K12" s="36">
        <f t="shared" si="0"/>
        <v>9</v>
      </c>
      <c r="L12" s="36">
        <f t="shared" si="0"/>
        <v>10</v>
      </c>
      <c r="M12" s="36">
        <f t="shared" si="0"/>
        <v>11</v>
      </c>
      <c r="N12" s="36">
        <f t="shared" si="0"/>
        <v>12</v>
      </c>
      <c r="O12" s="36">
        <f t="shared" si="0"/>
        <v>13</v>
      </c>
      <c r="P12" s="36">
        <f t="shared" si="0"/>
        <v>14</v>
      </c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</row>
    <row r="13" spans="1:65" ht="5.0999999999999996" customHeight="1">
      <c r="A13" s="37"/>
      <c r="B13" s="37"/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40"/>
      <c r="N13" s="40"/>
      <c r="O13" s="40"/>
      <c r="P13" s="16"/>
    </row>
    <row r="14" spans="1:65" ht="18.75" customHeight="1">
      <c r="A14" s="41" t="s">
        <v>15</v>
      </c>
      <c r="B14" s="42">
        <f>SUM(C14:P14)</f>
        <v>4000000</v>
      </c>
      <c r="C14" s="101">
        <v>500000</v>
      </c>
      <c r="D14" s="101">
        <v>750000</v>
      </c>
      <c r="E14" s="101">
        <v>1000000</v>
      </c>
      <c r="F14" s="101">
        <v>1000000</v>
      </c>
      <c r="G14" s="101">
        <v>750000</v>
      </c>
      <c r="H14" s="43"/>
      <c r="I14" s="43"/>
      <c r="J14" s="43"/>
      <c r="K14" s="43"/>
      <c r="L14" s="43"/>
      <c r="M14" s="43"/>
      <c r="N14" s="43"/>
      <c r="O14" s="43"/>
      <c r="P14" s="44"/>
    </row>
    <row r="15" spans="1:65" ht="18.75" customHeight="1">
      <c r="A15" s="45" t="s">
        <v>16</v>
      </c>
      <c r="B15" s="46">
        <f>SUM(C15:P15)</f>
        <v>1440000</v>
      </c>
      <c r="C15" s="47">
        <f t="shared" ref="C15:H15" si="1">+C14*$H$5</f>
        <v>180000</v>
      </c>
      <c r="D15" s="48">
        <f t="shared" si="1"/>
        <v>270000</v>
      </c>
      <c r="E15" s="48">
        <f t="shared" si="1"/>
        <v>360000</v>
      </c>
      <c r="F15" s="48">
        <f t="shared" si="1"/>
        <v>360000</v>
      </c>
      <c r="G15" s="48">
        <f t="shared" si="1"/>
        <v>270000</v>
      </c>
      <c r="H15" s="48">
        <f t="shared" si="1"/>
        <v>0</v>
      </c>
      <c r="I15" s="48">
        <f>+I14*$H$5</f>
        <v>0</v>
      </c>
      <c r="J15" s="48"/>
      <c r="K15" s="48"/>
      <c r="L15" s="48"/>
      <c r="M15" s="48"/>
      <c r="N15" s="48"/>
      <c r="O15" s="48"/>
      <c r="P15" s="49"/>
      <c r="R15" s="95"/>
      <c r="S15" s="95"/>
      <c r="T15" s="95"/>
      <c r="U15" s="95"/>
      <c r="V15" s="95"/>
      <c r="W15" s="95"/>
    </row>
    <row r="16" spans="1:65" ht="18.75" customHeight="1">
      <c r="A16" s="45" t="s">
        <v>17</v>
      </c>
      <c r="B16" s="46">
        <f t="shared" ref="B16:H16" si="2">B14+B15</f>
        <v>5440000</v>
      </c>
      <c r="C16" s="50">
        <f t="shared" si="2"/>
        <v>680000</v>
      </c>
      <c r="D16" s="51">
        <f t="shared" si="2"/>
        <v>1020000</v>
      </c>
      <c r="E16" s="51">
        <f t="shared" si="2"/>
        <v>1360000</v>
      </c>
      <c r="F16" s="51">
        <f t="shared" si="2"/>
        <v>1360000</v>
      </c>
      <c r="G16" s="51">
        <f t="shared" si="2"/>
        <v>1020000</v>
      </c>
      <c r="H16" s="51">
        <f t="shared" si="2"/>
        <v>0</v>
      </c>
      <c r="I16" s="51">
        <f>I14+I15</f>
        <v>0</v>
      </c>
      <c r="J16" s="51"/>
      <c r="K16" s="51"/>
      <c r="L16" s="51"/>
      <c r="M16" s="51"/>
      <c r="N16" s="51"/>
      <c r="O16" s="51"/>
      <c r="P16" s="52"/>
      <c r="R16" s="95"/>
      <c r="S16" s="95"/>
      <c r="T16" s="95"/>
      <c r="U16" s="95"/>
      <c r="V16" s="95"/>
      <c r="W16" s="95"/>
    </row>
    <row r="17" spans="1:23" ht="18.75" customHeight="1">
      <c r="A17" s="45" t="s">
        <v>18</v>
      </c>
      <c r="B17" s="46">
        <f>SUM(C17:P17)</f>
        <v>30464</v>
      </c>
      <c r="C17" s="47">
        <f t="shared" ref="C17:H17" si="3">+(C16)*$O$5</f>
        <v>3808</v>
      </c>
      <c r="D17" s="47">
        <f t="shared" si="3"/>
        <v>5712</v>
      </c>
      <c r="E17" s="47">
        <f t="shared" si="3"/>
        <v>7616</v>
      </c>
      <c r="F17" s="47">
        <f t="shared" si="3"/>
        <v>7616</v>
      </c>
      <c r="G17" s="47">
        <f t="shared" si="3"/>
        <v>5712</v>
      </c>
      <c r="H17" s="47">
        <f t="shared" si="3"/>
        <v>0</v>
      </c>
      <c r="I17" s="47">
        <f>+(I16)*$O$5</f>
        <v>0</v>
      </c>
      <c r="J17" s="47"/>
      <c r="K17" s="47"/>
      <c r="L17" s="47"/>
      <c r="M17" s="47"/>
      <c r="N17" s="47"/>
      <c r="O17" s="47"/>
      <c r="P17" s="53"/>
      <c r="R17" s="96"/>
      <c r="S17" s="96"/>
      <c r="T17" s="96"/>
      <c r="U17" s="96"/>
      <c r="V17" s="96"/>
      <c r="W17" s="96"/>
    </row>
    <row r="18" spans="1:23" ht="18.75" customHeight="1">
      <c r="A18" s="54" t="s">
        <v>19</v>
      </c>
      <c r="B18" s="46">
        <f>SUM(C18:P18)</f>
        <v>5470464</v>
      </c>
      <c r="C18" s="47">
        <f t="shared" ref="C18:H18" si="4">C16+C17</f>
        <v>683808</v>
      </c>
      <c r="D18" s="47">
        <f t="shared" si="4"/>
        <v>1025712</v>
      </c>
      <c r="E18" s="47">
        <f t="shared" si="4"/>
        <v>1367616</v>
      </c>
      <c r="F18" s="47">
        <f t="shared" si="4"/>
        <v>1367616</v>
      </c>
      <c r="G18" s="47">
        <f t="shared" si="4"/>
        <v>1025712</v>
      </c>
      <c r="H18" s="47">
        <f t="shared" si="4"/>
        <v>0</v>
      </c>
      <c r="I18" s="47">
        <f>I16+I17</f>
        <v>0</v>
      </c>
      <c r="J18" s="47"/>
      <c r="K18" s="47"/>
      <c r="L18" s="47"/>
      <c r="M18" s="47"/>
      <c r="N18" s="47"/>
      <c r="O18" s="47"/>
      <c r="P18" s="53"/>
      <c r="R18" s="96"/>
      <c r="S18" s="96"/>
      <c r="T18" s="96"/>
      <c r="U18" s="96"/>
      <c r="V18" s="96"/>
      <c r="W18" s="96"/>
    </row>
    <row r="19" spans="1:23" ht="18.75" customHeight="1">
      <c r="A19" s="45" t="s">
        <v>20</v>
      </c>
      <c r="B19" s="46">
        <f>SUM(C19:P19)</f>
        <v>547046.39999999991</v>
      </c>
      <c r="C19" s="47">
        <f t="shared" ref="C19:H19" si="5">+(C16+C17)*$H$7</f>
        <v>68380.800000000003</v>
      </c>
      <c r="D19" s="47">
        <f t="shared" si="5"/>
        <v>102571.20000000001</v>
      </c>
      <c r="E19" s="47">
        <f t="shared" si="5"/>
        <v>136761.60000000001</v>
      </c>
      <c r="F19" s="47">
        <f t="shared" si="5"/>
        <v>136761.60000000001</v>
      </c>
      <c r="G19" s="47">
        <f t="shared" si="5"/>
        <v>102571.20000000001</v>
      </c>
      <c r="H19" s="47">
        <f t="shared" si="5"/>
        <v>0</v>
      </c>
      <c r="I19" s="47">
        <f>+(I16+I17)*$H$7</f>
        <v>0</v>
      </c>
      <c r="J19" s="47"/>
      <c r="K19" s="47"/>
      <c r="L19" s="47"/>
      <c r="M19" s="47"/>
      <c r="N19" s="47"/>
      <c r="O19" s="47"/>
      <c r="P19" s="53"/>
    </row>
    <row r="20" spans="1:23" ht="18.75" customHeight="1">
      <c r="A20" s="45" t="s">
        <v>9</v>
      </c>
      <c r="B20" s="46">
        <f>SUM(C20:P20)</f>
        <v>0</v>
      </c>
      <c r="C20" s="47">
        <f t="shared" ref="C20:H20" si="6">(+(SUM(C18:C19))/(1-$H$8))*$H$8</f>
        <v>0</v>
      </c>
      <c r="D20" s="47">
        <f t="shared" si="6"/>
        <v>0</v>
      </c>
      <c r="E20" s="47">
        <f t="shared" si="6"/>
        <v>0</v>
      </c>
      <c r="F20" s="47">
        <f t="shared" si="6"/>
        <v>0</v>
      </c>
      <c r="G20" s="47">
        <f t="shared" si="6"/>
        <v>0</v>
      </c>
      <c r="H20" s="47">
        <f t="shared" si="6"/>
        <v>0</v>
      </c>
      <c r="I20" s="47">
        <f>(+(SUM(I18:I19))/(1-$H$8))*$H$8</f>
        <v>0</v>
      </c>
      <c r="J20" s="47"/>
      <c r="K20" s="47"/>
      <c r="L20" s="47"/>
      <c r="M20" s="47"/>
      <c r="N20" s="47"/>
      <c r="O20" s="47"/>
      <c r="P20" s="53"/>
    </row>
    <row r="21" spans="1:23" ht="18.75" customHeight="1">
      <c r="A21" s="45" t="s">
        <v>21</v>
      </c>
      <c r="B21" s="46">
        <f>SUM(C21:P21)</f>
        <v>6017510.4000000004</v>
      </c>
      <c r="C21" s="47">
        <f t="shared" ref="C21:H21" si="7">C18+C19+C20</f>
        <v>752188.8</v>
      </c>
      <c r="D21" s="47">
        <f t="shared" si="7"/>
        <v>1128283.2</v>
      </c>
      <c r="E21" s="47">
        <f t="shared" si="7"/>
        <v>1504377.6</v>
      </c>
      <c r="F21" s="47">
        <f t="shared" si="7"/>
        <v>1504377.6</v>
      </c>
      <c r="G21" s="47">
        <f t="shared" si="7"/>
        <v>1128283.2</v>
      </c>
      <c r="H21" s="47">
        <f t="shared" si="7"/>
        <v>0</v>
      </c>
      <c r="I21" s="47">
        <f>I18+I19+I20</f>
        <v>0</v>
      </c>
      <c r="J21" s="47"/>
      <c r="K21" s="47"/>
      <c r="L21" s="47"/>
      <c r="M21" s="47"/>
      <c r="N21" s="47"/>
      <c r="O21" s="47"/>
      <c r="P21" s="53"/>
    </row>
    <row r="22" spans="1:23" s="97" customFormat="1" ht="22.5" customHeight="1" thickBot="1">
      <c r="A22" s="55" t="s">
        <v>22</v>
      </c>
      <c r="B22" s="56"/>
      <c r="C22" s="57">
        <f>+C16</f>
        <v>680000</v>
      </c>
      <c r="D22" s="58">
        <f t="shared" ref="D22:I22" si="8">+C22+D16</f>
        <v>1700000</v>
      </c>
      <c r="E22" s="58">
        <f t="shared" si="8"/>
        <v>3060000</v>
      </c>
      <c r="F22" s="58">
        <f t="shared" si="8"/>
        <v>4420000</v>
      </c>
      <c r="G22" s="58">
        <f t="shared" si="8"/>
        <v>5440000</v>
      </c>
      <c r="H22" s="58">
        <f t="shared" si="8"/>
        <v>5440000</v>
      </c>
      <c r="I22" s="58">
        <f t="shared" si="8"/>
        <v>5440000</v>
      </c>
      <c r="J22" s="58"/>
      <c r="K22" s="58"/>
      <c r="L22" s="58"/>
      <c r="M22" s="58"/>
      <c r="N22" s="58"/>
      <c r="O22" s="58"/>
      <c r="P22" s="59"/>
    </row>
    <row r="23" spans="1:23" ht="8.1" customHeight="1">
      <c r="A23" s="60"/>
      <c r="B23" s="61"/>
      <c r="C23" s="62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/>
    </row>
    <row r="24" spans="1:23" s="97" customFormat="1" ht="21.9" customHeight="1">
      <c r="A24" s="65" t="s">
        <v>23</v>
      </c>
      <c r="B24" s="42">
        <f>SUM(C24:P24)</f>
        <v>6017510.4000000004</v>
      </c>
      <c r="C24" s="66"/>
      <c r="D24" s="67">
        <f>+C21</f>
        <v>752188.8</v>
      </c>
      <c r="E24" s="67">
        <f t="shared" ref="E24:I24" si="9">D21</f>
        <v>1128283.2</v>
      </c>
      <c r="F24" s="67">
        <f t="shared" si="9"/>
        <v>1504377.6</v>
      </c>
      <c r="G24" s="67">
        <f t="shared" si="9"/>
        <v>1504377.6</v>
      </c>
      <c r="H24" s="67">
        <f t="shared" si="9"/>
        <v>1128283.2</v>
      </c>
      <c r="I24" s="67">
        <f t="shared" si="9"/>
        <v>0</v>
      </c>
      <c r="J24" s="67"/>
      <c r="K24" s="67"/>
      <c r="L24" s="67"/>
      <c r="M24" s="67"/>
      <c r="N24" s="67"/>
      <c r="O24" s="67"/>
      <c r="P24" s="68"/>
    </row>
    <row r="25" spans="1:23" s="97" customFormat="1" ht="20.100000000000001" customHeight="1">
      <c r="A25" s="54" t="s">
        <v>24</v>
      </c>
      <c r="B25" s="69"/>
      <c r="C25" s="72">
        <f>D8*H6</f>
        <v>1805253.12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</row>
    <row r="26" spans="1:23" s="97" customFormat="1" ht="24" customHeight="1">
      <c r="A26" s="54" t="s">
        <v>25</v>
      </c>
      <c r="B26" s="46">
        <f>SUM(C26:P26)</f>
        <v>6017510.4000000004</v>
      </c>
      <c r="C26" s="72" t="s">
        <v>37</v>
      </c>
      <c r="D26" s="70">
        <f t="shared" ref="D26:F26" si="10">+C24</f>
        <v>0</v>
      </c>
      <c r="E26" s="70">
        <f t="shared" si="10"/>
        <v>752188.8</v>
      </c>
      <c r="F26" s="70">
        <f t="shared" si="10"/>
        <v>1128283.2</v>
      </c>
      <c r="G26" s="70">
        <f>+F24</f>
        <v>1504377.6</v>
      </c>
      <c r="H26" s="70">
        <f>+G24</f>
        <v>1504377.6</v>
      </c>
      <c r="I26" s="70">
        <f>+H24</f>
        <v>1128283.2</v>
      </c>
      <c r="J26" s="70"/>
      <c r="K26" s="70"/>
      <c r="L26" s="70"/>
      <c r="M26" s="70"/>
      <c r="N26" s="70"/>
      <c r="O26" s="70"/>
      <c r="P26" s="71"/>
    </row>
    <row r="27" spans="1:23" s="97" customFormat="1" ht="23.25" customHeight="1">
      <c r="A27" s="54" t="s">
        <v>26</v>
      </c>
      <c r="B27" s="46">
        <f>SUM(C27:P27)</f>
        <v>1805253.12</v>
      </c>
      <c r="C27" s="72"/>
      <c r="D27" s="70">
        <f t="shared" ref="D27:H27" si="11">+D26*$H$6</f>
        <v>0</v>
      </c>
      <c r="E27" s="70">
        <f>+E26*$H$6</f>
        <v>225656.64</v>
      </c>
      <c r="F27" s="70">
        <f t="shared" si="11"/>
        <v>338484.95999999996</v>
      </c>
      <c r="G27" s="70">
        <f t="shared" si="11"/>
        <v>451313.28</v>
      </c>
      <c r="H27" s="70">
        <f t="shared" si="11"/>
        <v>451313.28</v>
      </c>
      <c r="I27" s="70">
        <f>+I26*$H$6</f>
        <v>338484.95999999996</v>
      </c>
      <c r="J27" s="70"/>
      <c r="K27" s="70"/>
      <c r="L27" s="70"/>
      <c r="M27" s="70"/>
      <c r="N27" s="70"/>
      <c r="O27" s="70"/>
      <c r="P27" s="71"/>
    </row>
    <row r="28" spans="1:23" s="97" customFormat="1" ht="20.100000000000001" customHeight="1">
      <c r="A28" s="54" t="s">
        <v>27</v>
      </c>
      <c r="B28" s="46">
        <f>SUM(C28:P28)</f>
        <v>6017510.4000000013</v>
      </c>
      <c r="C28" s="72">
        <f>+C25</f>
        <v>1805253.12</v>
      </c>
      <c r="D28" s="70">
        <f>+D26-D27</f>
        <v>0</v>
      </c>
      <c r="E28" s="70">
        <f>+E26-E27</f>
        <v>526532.16</v>
      </c>
      <c r="F28" s="70">
        <f t="shared" ref="F28:I28" si="12">+F26-F27+F25</f>
        <v>789798.24</v>
      </c>
      <c r="G28" s="70">
        <f t="shared" si="12"/>
        <v>1053064.32</v>
      </c>
      <c r="H28" s="70">
        <f t="shared" si="12"/>
        <v>1053064.32</v>
      </c>
      <c r="I28" s="70">
        <f t="shared" si="12"/>
        <v>789798.24</v>
      </c>
      <c r="J28" s="70"/>
      <c r="K28" s="70"/>
      <c r="L28" s="70"/>
      <c r="M28" s="70"/>
      <c r="N28" s="70"/>
      <c r="O28" s="70"/>
      <c r="P28" s="71"/>
    </row>
    <row r="29" spans="1:23" s="97" customFormat="1" ht="21.9" customHeight="1">
      <c r="A29" s="54" t="s">
        <v>28</v>
      </c>
      <c r="B29" s="69"/>
      <c r="C29" s="72"/>
      <c r="D29" s="70">
        <f t="shared" ref="D29:I29" si="13">C31*$D$6</f>
        <v>10074.484954453335</v>
      </c>
      <c r="E29" s="70">
        <f t="shared" si="13"/>
        <v>1122.7353611286012</v>
      </c>
      <c r="F29" s="70">
        <f t="shared" si="13"/>
        <v>-6409.4654828834382</v>
      </c>
      <c r="G29" s="70">
        <f t="shared" si="13"/>
        <v>-11639.350257406999</v>
      </c>
      <c r="H29" s="70">
        <f t="shared" si="13"/>
        <v>-11494.354312097459</v>
      </c>
      <c r="I29" s="70">
        <f t="shared" si="13"/>
        <v>-2167.7934510151758</v>
      </c>
      <c r="J29" s="70"/>
      <c r="K29" s="70"/>
      <c r="L29" s="70"/>
      <c r="M29" s="70"/>
      <c r="N29" s="70"/>
      <c r="O29" s="70"/>
      <c r="P29" s="71"/>
    </row>
    <row r="30" spans="1:23" s="97" customFormat="1" ht="20.100000000000001" customHeight="1" thickBot="1">
      <c r="A30" s="55" t="s">
        <v>29</v>
      </c>
      <c r="B30" s="56"/>
      <c r="C30" s="73">
        <f>+C28</f>
        <v>1805253.12</v>
      </c>
      <c r="D30" s="74">
        <f t="shared" ref="D30:I30" si="14">+D28+C30+D29</f>
        <v>1815327.6049544534</v>
      </c>
      <c r="E30" s="74">
        <f t="shared" si="14"/>
        <v>2342982.5003155819</v>
      </c>
      <c r="F30" s="74">
        <f t="shared" si="14"/>
        <v>3126371.2748326981</v>
      </c>
      <c r="G30" s="74">
        <f t="shared" si="14"/>
        <v>4167796.2445752909</v>
      </c>
      <c r="H30" s="74">
        <f t="shared" si="14"/>
        <v>5209366.2102631936</v>
      </c>
      <c r="I30" s="74">
        <f t="shared" si="14"/>
        <v>5996996.6568121789</v>
      </c>
      <c r="J30" s="74"/>
      <c r="K30" s="74"/>
      <c r="L30" s="74"/>
      <c r="M30" s="74"/>
      <c r="N30" s="74"/>
      <c r="O30" s="74"/>
      <c r="P30" s="75"/>
    </row>
    <row r="31" spans="1:23" s="97" customFormat="1" ht="22.5" customHeight="1">
      <c r="A31" s="65" t="s">
        <v>30</v>
      </c>
      <c r="B31" s="46"/>
      <c r="C31" s="66">
        <f>+C30-C22</f>
        <v>1125253.1200000001</v>
      </c>
      <c r="D31" s="67">
        <f>+D30-D22+D29</f>
        <v>125402.08990890675</v>
      </c>
      <c r="E31" s="67">
        <f t="shared" ref="E31:I31" si="15">+E30+E29-E22</f>
        <v>-715894.76432328951</v>
      </c>
      <c r="F31" s="67">
        <f t="shared" si="15"/>
        <v>-1300038.1906501856</v>
      </c>
      <c r="G31" s="67">
        <f t="shared" si="15"/>
        <v>-1283843.105682116</v>
      </c>
      <c r="H31" s="67">
        <f t="shared" si="15"/>
        <v>-242128.14404890407</v>
      </c>
      <c r="I31" s="67">
        <f t="shared" si="15"/>
        <v>554828.863361164</v>
      </c>
      <c r="J31" s="67"/>
      <c r="K31" s="67"/>
      <c r="L31" s="67"/>
      <c r="M31" s="67"/>
      <c r="N31" s="67"/>
      <c r="O31" s="67"/>
      <c r="P31" s="68"/>
    </row>
    <row r="32" spans="1:23" s="97" customFormat="1" ht="38.25" customHeight="1">
      <c r="A32" s="54" t="s">
        <v>31</v>
      </c>
      <c r="B32" s="69"/>
      <c r="C32" s="72">
        <f t="shared" ref="C32:H32" si="16">+IF(C31&gt;0,C31)*$D$6</f>
        <v>10074.484954453335</v>
      </c>
      <c r="D32" s="72">
        <f t="shared" si="16"/>
        <v>1122.7353611286012</v>
      </c>
      <c r="E32" s="72">
        <f t="shared" si="16"/>
        <v>0</v>
      </c>
      <c r="F32" s="72">
        <f t="shared" si="16"/>
        <v>0</v>
      </c>
      <c r="G32" s="72">
        <f t="shared" si="16"/>
        <v>0</v>
      </c>
      <c r="H32" s="72">
        <f t="shared" si="16"/>
        <v>0</v>
      </c>
      <c r="I32" s="72">
        <f>+IF(I31&gt;0,I31)*$D$6</f>
        <v>4967.4290494111146</v>
      </c>
      <c r="J32" s="72"/>
      <c r="K32" s="72"/>
      <c r="L32" s="72"/>
      <c r="M32" s="72"/>
      <c r="N32" s="72"/>
      <c r="O32" s="72"/>
      <c r="P32" s="52"/>
    </row>
    <row r="33" spans="1:16" ht="34.5" customHeight="1">
      <c r="A33" s="54" t="s">
        <v>32</v>
      </c>
      <c r="B33" s="46"/>
      <c r="C33" s="51">
        <f t="shared" ref="C33:H33" si="17">+IF(C31&lt;0,C31)*$D$7</f>
        <v>0</v>
      </c>
      <c r="D33" s="51">
        <f t="shared" si="17"/>
        <v>0</v>
      </c>
      <c r="E33" s="51">
        <f t="shared" si="17"/>
        <v>-9392.3603342304777</v>
      </c>
      <c r="F33" s="51">
        <f t="shared" si="17"/>
        <v>-17056.176051782772</v>
      </c>
      <c r="G33" s="51">
        <f t="shared" si="17"/>
        <v>-16843.700585772942</v>
      </c>
      <c r="H33" s="51">
        <f t="shared" si="17"/>
        <v>-3176.6607178856088</v>
      </c>
      <c r="I33" s="51">
        <f>+IF(I31&lt;0,I31)*$D$7</f>
        <v>0</v>
      </c>
      <c r="J33" s="51"/>
      <c r="K33" s="51"/>
      <c r="L33" s="51"/>
      <c r="M33" s="51"/>
      <c r="N33" s="51"/>
      <c r="O33" s="51"/>
      <c r="P33" s="52"/>
    </row>
    <row r="34" spans="1:16" ht="34.5" customHeight="1" thickBot="1">
      <c r="A34" s="55" t="s">
        <v>33</v>
      </c>
      <c r="B34" s="56"/>
      <c r="C34" s="76">
        <f>+C32+C33</f>
        <v>10074.484954453335</v>
      </c>
      <c r="D34" s="77">
        <f t="shared" ref="D34:I34" si="18">+D32+D33+C34</f>
        <v>11197.220315581937</v>
      </c>
      <c r="E34" s="77">
        <f t="shared" si="18"/>
        <v>1804.8599813514593</v>
      </c>
      <c r="F34" s="77">
        <f t="shared" si="18"/>
        <v>-15251.316070431312</v>
      </c>
      <c r="G34" s="77">
        <f t="shared" si="18"/>
        <v>-32095.016656204254</v>
      </c>
      <c r="H34" s="77">
        <f t="shared" si="18"/>
        <v>-35271.677374089864</v>
      </c>
      <c r="I34" s="77">
        <f t="shared" si="18"/>
        <v>-30304.248324678749</v>
      </c>
      <c r="J34" s="77"/>
      <c r="K34" s="77"/>
      <c r="L34" s="77"/>
      <c r="M34" s="77"/>
      <c r="N34" s="77"/>
      <c r="O34" s="77"/>
      <c r="P34" s="78"/>
    </row>
    <row r="35" spans="1:16" ht="5.0999999999999996" customHeight="1" thickBot="1">
      <c r="A35" s="61"/>
      <c r="B35" s="61"/>
      <c r="C35" s="62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79"/>
    </row>
    <row r="36" spans="1:16" ht="34.5" customHeight="1" thickBot="1">
      <c r="A36" s="80" t="s">
        <v>34</v>
      </c>
      <c r="B36" s="81"/>
      <c r="C36" s="82">
        <f t="shared" ref="C36:H36" si="19">+C34/$D$5</f>
        <v>1.8519273813333338E-3</v>
      </c>
      <c r="D36" s="83">
        <f t="shared" si="19"/>
        <v>2.0583125580113854E-3</v>
      </c>
      <c r="E36" s="83">
        <f t="shared" si="19"/>
        <v>3.317757318660771E-4</v>
      </c>
      <c r="F36" s="83">
        <f t="shared" si="19"/>
        <v>-2.80355074824105E-3</v>
      </c>
      <c r="G36" s="83">
        <f t="shared" si="19"/>
        <v>-5.8998192382728404E-3</v>
      </c>
      <c r="H36" s="83">
        <f t="shared" si="19"/>
        <v>-6.4837642231782835E-3</v>
      </c>
      <c r="I36" s="83">
        <f>+I34/$D$5</f>
        <v>-5.5706338832130055E-3</v>
      </c>
      <c r="J36" s="83"/>
      <c r="K36" s="83"/>
      <c r="L36" s="83"/>
      <c r="M36" s="83"/>
      <c r="N36" s="83"/>
      <c r="O36" s="83"/>
      <c r="P36" s="84"/>
    </row>
    <row r="37" spans="1:16" ht="5.0999999999999996" customHeight="1">
      <c r="A37" s="85"/>
      <c r="B37" s="85"/>
      <c r="L37" s="2"/>
      <c r="M37" s="2"/>
      <c r="N37" s="2"/>
      <c r="O37" s="2"/>
      <c r="P37" s="86"/>
    </row>
    <row r="38" spans="1:16" ht="15" customHeight="1" thickBot="1">
      <c r="A38" s="87"/>
      <c r="B38" s="88"/>
      <c r="C38" s="30"/>
      <c r="D38" s="30"/>
      <c r="E38" s="30"/>
      <c r="F38" s="89"/>
      <c r="G38" s="89" t="s">
        <v>35</v>
      </c>
      <c r="H38" s="30"/>
      <c r="I38" s="90">
        <f>-I36</f>
        <v>5.5706338832130055E-3</v>
      </c>
      <c r="J38" s="90"/>
      <c r="K38" s="90"/>
      <c r="L38" s="91"/>
      <c r="M38" s="91"/>
      <c r="N38" s="91"/>
      <c r="O38" s="91"/>
      <c r="P38" s="92"/>
    </row>
  </sheetData>
  <mergeCells count="4">
    <mergeCell ref="M2:P2"/>
    <mergeCell ref="M3:P3"/>
    <mergeCell ref="A11:A12"/>
    <mergeCell ref="B11:B1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financiamiento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Amyndra</cp:lastModifiedBy>
  <dcterms:created xsi:type="dcterms:W3CDTF">2024-09-16T18:38:05Z</dcterms:created>
  <dcterms:modified xsi:type="dcterms:W3CDTF">2024-10-05T02:40:54Z</dcterms:modified>
</cp:coreProperties>
</file>