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2210"/>
  </bookViews>
  <sheets>
    <sheet name="financiamient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H5" i="2"/>
  <c r="D7" i="2" l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<sst xmlns="http://schemas.openxmlformats.org/spreadsheetml/2006/main" count="38" uniqueCount="37">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</sst>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  <numFmt numFmtId="173" formatCode="0.00000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3" fontId="6" fillId="2" borderId="12" xfId="2" applyNumberFormat="1" applyFont="1" applyFill="1" applyBorder="1" applyAlignment="1" applyProtection="1">
      <alignment horizontal="right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tabSelected="1" workbookViewId="0">
      <selection activeCell="O5" sqref="O5"/>
    </sheetView>
  </sheetViews>
  <sheetFormatPr baseColWidth="10" defaultColWidth="11.5" defaultRowHeight="10.5"/>
  <cols>
    <col min="1" max="1" width="22.5" style="1" customWidth="1"/>
    <col min="2" max="2" width="12.625" style="1" customWidth="1"/>
    <col min="3" max="11" width="12.625" style="2" customWidth="1"/>
    <col min="12" max="16" width="12.625" style="1" customWidth="1"/>
    <col min="17" max="256" width="11.5" style="1"/>
    <col min="257" max="257" width="22.5" style="1" customWidth="1"/>
    <col min="258" max="272" width="12.625" style="1" customWidth="1"/>
    <col min="273" max="512" width="11.5" style="1"/>
    <col min="513" max="513" width="22.5" style="1" customWidth="1"/>
    <col min="514" max="528" width="12.625" style="1" customWidth="1"/>
    <col min="529" max="768" width="11.5" style="1"/>
    <col min="769" max="769" width="22.5" style="1" customWidth="1"/>
    <col min="770" max="784" width="12.625" style="1" customWidth="1"/>
    <col min="785" max="1024" width="11.5" style="1"/>
    <col min="1025" max="1025" width="22.5" style="1" customWidth="1"/>
    <col min="1026" max="1040" width="12.625" style="1" customWidth="1"/>
    <col min="1041" max="1280" width="11.5" style="1"/>
    <col min="1281" max="1281" width="22.5" style="1" customWidth="1"/>
    <col min="1282" max="1296" width="12.625" style="1" customWidth="1"/>
    <col min="1297" max="1536" width="11.5" style="1"/>
    <col min="1537" max="1537" width="22.5" style="1" customWidth="1"/>
    <col min="1538" max="1552" width="12.625" style="1" customWidth="1"/>
    <col min="1553" max="1792" width="11.5" style="1"/>
    <col min="1793" max="1793" width="22.5" style="1" customWidth="1"/>
    <col min="1794" max="1808" width="12.625" style="1" customWidth="1"/>
    <col min="1809" max="2048" width="11.5" style="1"/>
    <col min="2049" max="2049" width="22.5" style="1" customWidth="1"/>
    <col min="2050" max="2064" width="12.625" style="1" customWidth="1"/>
    <col min="2065" max="2304" width="11.5" style="1"/>
    <col min="2305" max="2305" width="22.5" style="1" customWidth="1"/>
    <col min="2306" max="2320" width="12.625" style="1" customWidth="1"/>
    <col min="2321" max="2560" width="11.5" style="1"/>
    <col min="2561" max="2561" width="22.5" style="1" customWidth="1"/>
    <col min="2562" max="2576" width="12.625" style="1" customWidth="1"/>
    <col min="2577" max="2816" width="11.5" style="1"/>
    <col min="2817" max="2817" width="22.5" style="1" customWidth="1"/>
    <col min="2818" max="2832" width="12.625" style="1" customWidth="1"/>
    <col min="2833" max="3072" width="11.5" style="1"/>
    <col min="3073" max="3073" width="22.5" style="1" customWidth="1"/>
    <col min="3074" max="3088" width="12.625" style="1" customWidth="1"/>
    <col min="3089" max="3328" width="11.5" style="1"/>
    <col min="3329" max="3329" width="22.5" style="1" customWidth="1"/>
    <col min="3330" max="3344" width="12.625" style="1" customWidth="1"/>
    <col min="3345" max="3584" width="11.5" style="1"/>
    <col min="3585" max="3585" width="22.5" style="1" customWidth="1"/>
    <col min="3586" max="3600" width="12.625" style="1" customWidth="1"/>
    <col min="3601" max="3840" width="11.5" style="1"/>
    <col min="3841" max="3841" width="22.5" style="1" customWidth="1"/>
    <col min="3842" max="3856" width="12.625" style="1" customWidth="1"/>
    <col min="3857" max="4096" width="11.5" style="1"/>
    <col min="4097" max="4097" width="22.5" style="1" customWidth="1"/>
    <col min="4098" max="4112" width="12.625" style="1" customWidth="1"/>
    <col min="4113" max="4352" width="11.5" style="1"/>
    <col min="4353" max="4353" width="22.5" style="1" customWidth="1"/>
    <col min="4354" max="4368" width="12.625" style="1" customWidth="1"/>
    <col min="4369" max="4608" width="11.5" style="1"/>
    <col min="4609" max="4609" width="22.5" style="1" customWidth="1"/>
    <col min="4610" max="4624" width="12.625" style="1" customWidth="1"/>
    <col min="4625" max="4864" width="11.5" style="1"/>
    <col min="4865" max="4865" width="22.5" style="1" customWidth="1"/>
    <col min="4866" max="4880" width="12.625" style="1" customWidth="1"/>
    <col min="4881" max="5120" width="11.5" style="1"/>
    <col min="5121" max="5121" width="22.5" style="1" customWidth="1"/>
    <col min="5122" max="5136" width="12.625" style="1" customWidth="1"/>
    <col min="5137" max="5376" width="11.5" style="1"/>
    <col min="5377" max="5377" width="22.5" style="1" customWidth="1"/>
    <col min="5378" max="5392" width="12.625" style="1" customWidth="1"/>
    <col min="5393" max="5632" width="11.5" style="1"/>
    <col min="5633" max="5633" width="22.5" style="1" customWidth="1"/>
    <col min="5634" max="5648" width="12.625" style="1" customWidth="1"/>
    <col min="5649" max="5888" width="11.5" style="1"/>
    <col min="5889" max="5889" width="22.5" style="1" customWidth="1"/>
    <col min="5890" max="5904" width="12.625" style="1" customWidth="1"/>
    <col min="5905" max="6144" width="11.5" style="1"/>
    <col min="6145" max="6145" width="22.5" style="1" customWidth="1"/>
    <col min="6146" max="6160" width="12.625" style="1" customWidth="1"/>
    <col min="6161" max="6400" width="11.5" style="1"/>
    <col min="6401" max="6401" width="22.5" style="1" customWidth="1"/>
    <col min="6402" max="6416" width="12.625" style="1" customWidth="1"/>
    <col min="6417" max="6656" width="11.5" style="1"/>
    <col min="6657" max="6657" width="22.5" style="1" customWidth="1"/>
    <col min="6658" max="6672" width="12.625" style="1" customWidth="1"/>
    <col min="6673" max="6912" width="11.5" style="1"/>
    <col min="6913" max="6913" width="22.5" style="1" customWidth="1"/>
    <col min="6914" max="6928" width="12.625" style="1" customWidth="1"/>
    <col min="6929" max="7168" width="11.5" style="1"/>
    <col min="7169" max="7169" width="22.5" style="1" customWidth="1"/>
    <col min="7170" max="7184" width="12.625" style="1" customWidth="1"/>
    <col min="7185" max="7424" width="11.5" style="1"/>
    <col min="7425" max="7425" width="22.5" style="1" customWidth="1"/>
    <col min="7426" max="7440" width="12.625" style="1" customWidth="1"/>
    <col min="7441" max="7680" width="11.5" style="1"/>
    <col min="7681" max="7681" width="22.5" style="1" customWidth="1"/>
    <col min="7682" max="7696" width="12.625" style="1" customWidth="1"/>
    <col min="7697" max="7936" width="11.5" style="1"/>
    <col min="7937" max="7937" width="22.5" style="1" customWidth="1"/>
    <col min="7938" max="7952" width="12.625" style="1" customWidth="1"/>
    <col min="7953" max="8192" width="11.5" style="1"/>
    <col min="8193" max="8193" width="22.5" style="1" customWidth="1"/>
    <col min="8194" max="8208" width="12.625" style="1" customWidth="1"/>
    <col min="8209" max="8448" width="11.5" style="1"/>
    <col min="8449" max="8449" width="22.5" style="1" customWidth="1"/>
    <col min="8450" max="8464" width="12.625" style="1" customWidth="1"/>
    <col min="8465" max="8704" width="11.5" style="1"/>
    <col min="8705" max="8705" width="22.5" style="1" customWidth="1"/>
    <col min="8706" max="8720" width="12.625" style="1" customWidth="1"/>
    <col min="8721" max="8960" width="11.5" style="1"/>
    <col min="8961" max="8961" width="22.5" style="1" customWidth="1"/>
    <col min="8962" max="8976" width="12.625" style="1" customWidth="1"/>
    <col min="8977" max="9216" width="11.5" style="1"/>
    <col min="9217" max="9217" width="22.5" style="1" customWidth="1"/>
    <col min="9218" max="9232" width="12.625" style="1" customWidth="1"/>
    <col min="9233" max="9472" width="11.5" style="1"/>
    <col min="9473" max="9473" width="22.5" style="1" customWidth="1"/>
    <col min="9474" max="9488" width="12.625" style="1" customWidth="1"/>
    <col min="9489" max="9728" width="11.5" style="1"/>
    <col min="9729" max="9729" width="22.5" style="1" customWidth="1"/>
    <col min="9730" max="9744" width="12.625" style="1" customWidth="1"/>
    <col min="9745" max="9984" width="11.5" style="1"/>
    <col min="9985" max="9985" width="22.5" style="1" customWidth="1"/>
    <col min="9986" max="10000" width="12.625" style="1" customWidth="1"/>
    <col min="10001" max="10240" width="11.5" style="1"/>
    <col min="10241" max="10241" width="22.5" style="1" customWidth="1"/>
    <col min="10242" max="10256" width="12.625" style="1" customWidth="1"/>
    <col min="10257" max="10496" width="11.5" style="1"/>
    <col min="10497" max="10497" width="22.5" style="1" customWidth="1"/>
    <col min="10498" max="10512" width="12.625" style="1" customWidth="1"/>
    <col min="10513" max="10752" width="11.5" style="1"/>
    <col min="10753" max="10753" width="22.5" style="1" customWidth="1"/>
    <col min="10754" max="10768" width="12.625" style="1" customWidth="1"/>
    <col min="10769" max="11008" width="11.5" style="1"/>
    <col min="11009" max="11009" width="22.5" style="1" customWidth="1"/>
    <col min="11010" max="11024" width="12.625" style="1" customWidth="1"/>
    <col min="11025" max="11264" width="11.5" style="1"/>
    <col min="11265" max="11265" width="22.5" style="1" customWidth="1"/>
    <col min="11266" max="11280" width="12.625" style="1" customWidth="1"/>
    <col min="11281" max="11520" width="11.5" style="1"/>
    <col min="11521" max="11521" width="22.5" style="1" customWidth="1"/>
    <col min="11522" max="11536" width="12.625" style="1" customWidth="1"/>
    <col min="11537" max="11776" width="11.5" style="1"/>
    <col min="11777" max="11777" width="22.5" style="1" customWidth="1"/>
    <col min="11778" max="11792" width="12.625" style="1" customWidth="1"/>
    <col min="11793" max="12032" width="11.5" style="1"/>
    <col min="12033" max="12033" width="22.5" style="1" customWidth="1"/>
    <col min="12034" max="12048" width="12.625" style="1" customWidth="1"/>
    <col min="12049" max="12288" width="11.5" style="1"/>
    <col min="12289" max="12289" width="22.5" style="1" customWidth="1"/>
    <col min="12290" max="12304" width="12.625" style="1" customWidth="1"/>
    <col min="12305" max="12544" width="11.5" style="1"/>
    <col min="12545" max="12545" width="22.5" style="1" customWidth="1"/>
    <col min="12546" max="12560" width="12.625" style="1" customWidth="1"/>
    <col min="12561" max="12800" width="11.5" style="1"/>
    <col min="12801" max="12801" width="22.5" style="1" customWidth="1"/>
    <col min="12802" max="12816" width="12.625" style="1" customWidth="1"/>
    <col min="12817" max="13056" width="11.5" style="1"/>
    <col min="13057" max="13057" width="22.5" style="1" customWidth="1"/>
    <col min="13058" max="13072" width="12.625" style="1" customWidth="1"/>
    <col min="13073" max="13312" width="11.5" style="1"/>
    <col min="13313" max="13313" width="22.5" style="1" customWidth="1"/>
    <col min="13314" max="13328" width="12.625" style="1" customWidth="1"/>
    <col min="13329" max="13568" width="11.5" style="1"/>
    <col min="13569" max="13569" width="22.5" style="1" customWidth="1"/>
    <col min="13570" max="13584" width="12.625" style="1" customWidth="1"/>
    <col min="13585" max="13824" width="11.5" style="1"/>
    <col min="13825" max="13825" width="22.5" style="1" customWidth="1"/>
    <col min="13826" max="13840" width="12.625" style="1" customWidth="1"/>
    <col min="13841" max="14080" width="11.5" style="1"/>
    <col min="14081" max="14081" width="22.5" style="1" customWidth="1"/>
    <col min="14082" max="14096" width="12.625" style="1" customWidth="1"/>
    <col min="14097" max="14336" width="11.5" style="1"/>
    <col min="14337" max="14337" width="22.5" style="1" customWidth="1"/>
    <col min="14338" max="14352" width="12.625" style="1" customWidth="1"/>
    <col min="14353" max="14592" width="11.5" style="1"/>
    <col min="14593" max="14593" width="22.5" style="1" customWidth="1"/>
    <col min="14594" max="14608" width="12.625" style="1" customWidth="1"/>
    <col min="14609" max="14848" width="11.5" style="1"/>
    <col min="14849" max="14849" width="22.5" style="1" customWidth="1"/>
    <col min="14850" max="14864" width="12.625" style="1" customWidth="1"/>
    <col min="14865" max="15104" width="11.5" style="1"/>
    <col min="15105" max="15105" width="22.5" style="1" customWidth="1"/>
    <col min="15106" max="15120" width="12.625" style="1" customWidth="1"/>
    <col min="15121" max="15360" width="11.5" style="1"/>
    <col min="15361" max="15361" width="22.5" style="1" customWidth="1"/>
    <col min="15362" max="15376" width="12.625" style="1" customWidth="1"/>
    <col min="15377" max="15616" width="11.5" style="1"/>
    <col min="15617" max="15617" width="22.5" style="1" customWidth="1"/>
    <col min="15618" max="15632" width="12.625" style="1" customWidth="1"/>
    <col min="15633" max="15872" width="11.5" style="1"/>
    <col min="15873" max="15873" width="22.5" style="1" customWidth="1"/>
    <col min="15874" max="15888" width="12.625" style="1" customWidth="1"/>
    <col min="15889" max="16128" width="11.5" style="1"/>
    <col min="16129" max="16129" width="22.5" style="1" customWidth="1"/>
    <col min="16130" max="16144" width="12.625" style="1" customWidth="1"/>
    <col min="16145" max="16384" width="11.5" style="1"/>
  </cols>
  <sheetData>
    <row r="1" spans="1:65" ht="5.0999999999999996" customHeight="1" thickBot="1"/>
    <row r="2" spans="1:65" s="93" customFormat="1" ht="12.75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6"/>
      <c r="N2" s="107"/>
      <c r="O2" s="107"/>
      <c r="P2" s="108"/>
    </row>
    <row r="3" spans="1:65" s="93" customFormat="1" ht="13.5" thickBo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09"/>
      <c r="N3" s="110"/>
      <c r="O3" s="110"/>
      <c r="P3" s="111"/>
    </row>
    <row r="4" spans="1:65" ht="5.0999999999999996" customHeight="1" thickBo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5" customHeight="1" thickBot="1">
      <c r="A5" s="17" t="s">
        <v>2</v>
      </c>
      <c r="B5" s="18"/>
      <c r="D5" s="19">
        <f>B16</f>
        <v>5440000</v>
      </c>
      <c r="E5" s="20"/>
      <c r="F5" s="18" t="s">
        <v>3</v>
      </c>
      <c r="H5" s="102">
        <f>0.15+0.21</f>
        <v>0.36</v>
      </c>
      <c r="I5" s="1"/>
      <c r="J5" s="1"/>
      <c r="K5" s="1"/>
      <c r="L5" s="20"/>
      <c r="O5" s="105">
        <v>5.5566055211619886E-3</v>
      </c>
      <c r="P5" s="21"/>
      <c r="R5" s="1" t="s">
        <v>36</v>
      </c>
    </row>
    <row r="6" spans="1:65" ht="14.45" customHeight="1" thickBot="1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3">
        <v>0.3</v>
      </c>
      <c r="I6" s="1"/>
      <c r="J6" s="1"/>
      <c r="K6" s="1"/>
      <c r="L6" s="20"/>
      <c r="O6" s="23">
        <f>I38</f>
        <v>5.5729225612518342E-3</v>
      </c>
      <c r="P6" s="21"/>
      <c r="S6" s="24"/>
    </row>
    <row r="7" spans="1:65" ht="14.45" customHeight="1" thickBot="1">
      <c r="A7" s="17" t="s">
        <v>6</v>
      </c>
      <c r="B7" s="18"/>
      <c r="D7" s="102">
        <f>D6+0.05/12</f>
        <v>1.3119749999999999E-2</v>
      </c>
      <c r="E7" s="22"/>
      <c r="F7" s="20" t="s">
        <v>7</v>
      </c>
      <c r="G7" s="1"/>
      <c r="H7" s="104">
        <v>0.1</v>
      </c>
      <c r="I7" s="1"/>
      <c r="J7" s="1"/>
      <c r="K7" s="1"/>
      <c r="L7" s="20"/>
      <c r="O7" s="24"/>
      <c r="P7" s="21"/>
      <c r="S7" s="24"/>
    </row>
    <row r="8" spans="1:65" ht="14.45" customHeight="1" thickBot="1">
      <c r="A8" s="17" t="s">
        <v>8</v>
      </c>
      <c r="B8" s="18"/>
      <c r="D8" s="19">
        <f>B21</f>
        <v>6017250.7274386333</v>
      </c>
      <c r="E8" s="25"/>
      <c r="F8" s="20" t="s">
        <v>9</v>
      </c>
      <c r="G8" s="1"/>
      <c r="H8" s="103"/>
      <c r="I8" s="1"/>
      <c r="J8" s="1"/>
      <c r="K8" s="1"/>
      <c r="L8" s="20"/>
      <c r="N8" s="26"/>
      <c r="O8" s="24"/>
      <c r="P8" s="21"/>
      <c r="S8" s="24"/>
    </row>
    <row r="9" spans="1:65" ht="14.45" customHeight="1" thickBot="1">
      <c r="A9" s="17" t="s">
        <v>10</v>
      </c>
      <c r="B9" s="18"/>
      <c r="D9" s="19">
        <f>+D8*1.16</f>
        <v>6980010.8438288141</v>
      </c>
      <c r="F9" s="20" t="s">
        <v>11</v>
      </c>
      <c r="G9" s="27"/>
      <c r="H9" s="115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3.5" thickBot="1">
      <c r="A11" s="112" t="s">
        <v>12</v>
      </c>
      <c r="B11" s="114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3.5" thickBot="1">
      <c r="A12" s="113"/>
      <c r="B12" s="113"/>
      <c r="C12" s="99">
        <v>1</v>
      </c>
      <c r="D12" s="100">
        <f>+C12+1</f>
        <v>2</v>
      </c>
      <c r="E12" s="100">
        <f t="shared" ref="E12:P12" si="0">+D12+1</f>
        <v>3</v>
      </c>
      <c r="F12" s="100">
        <f t="shared" si="0"/>
        <v>4</v>
      </c>
      <c r="G12" s="100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>
      <c r="A14" s="41" t="s">
        <v>15</v>
      </c>
      <c r="B14" s="42">
        <f>SUM(C14:P14)</f>
        <v>4000000</v>
      </c>
      <c r="C14" s="101">
        <v>500000</v>
      </c>
      <c r="D14" s="101">
        <v>750000</v>
      </c>
      <c r="E14" s="101">
        <v>1000000</v>
      </c>
      <c r="F14" s="101">
        <v>1000000</v>
      </c>
      <c r="G14" s="101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>
      <c r="A17" s="45" t="s">
        <v>18</v>
      </c>
      <c r="B17" s="46">
        <f>SUM(C17:P17)</f>
        <v>30227.934035121216</v>
      </c>
      <c r="C17" s="47">
        <f t="shared" ref="C17:H17" si="3">+(C16)*$O$5</f>
        <v>3778.4917543901524</v>
      </c>
      <c r="D17" s="47">
        <f t="shared" si="3"/>
        <v>5667.737631585228</v>
      </c>
      <c r="E17" s="47">
        <f t="shared" si="3"/>
        <v>7556.9835087803049</v>
      </c>
      <c r="F17" s="47">
        <f t="shared" si="3"/>
        <v>7556.9835087803049</v>
      </c>
      <c r="G17" s="47">
        <f t="shared" si="3"/>
        <v>5667.737631585228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>
      <c r="A18" s="54" t="s">
        <v>19</v>
      </c>
      <c r="B18" s="46">
        <f>SUM(C18:P18)</f>
        <v>5470227.9340351215</v>
      </c>
      <c r="C18" s="47">
        <f t="shared" ref="C18:H18" si="4">C16+C17</f>
        <v>683778.49175439018</v>
      </c>
      <c r="D18" s="47">
        <f t="shared" si="4"/>
        <v>1025667.7376315852</v>
      </c>
      <c r="E18" s="47">
        <f t="shared" si="4"/>
        <v>1367556.9835087804</v>
      </c>
      <c r="F18" s="47">
        <f t="shared" si="4"/>
        <v>1367556.9835087804</v>
      </c>
      <c r="G18" s="47">
        <f t="shared" si="4"/>
        <v>1025667.7376315852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>
      <c r="A19" s="45" t="s">
        <v>20</v>
      </c>
      <c r="B19" s="46">
        <f>SUM(C19:P19)</f>
        <v>547022.79340351233</v>
      </c>
      <c r="C19" s="47">
        <f t="shared" ref="C19:H19" si="5">+(C16+C17)*$H$7</f>
        <v>68377.849175439027</v>
      </c>
      <c r="D19" s="47">
        <f t="shared" si="5"/>
        <v>102566.77376315853</v>
      </c>
      <c r="E19" s="47">
        <f t="shared" si="5"/>
        <v>136755.69835087805</v>
      </c>
      <c r="F19" s="47">
        <f t="shared" si="5"/>
        <v>136755.69835087805</v>
      </c>
      <c r="G19" s="47">
        <f t="shared" si="5"/>
        <v>102566.77376315853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>
      <c r="A21" s="45" t="s">
        <v>21</v>
      </c>
      <c r="B21" s="46">
        <f>SUM(C21:P21)</f>
        <v>6017250.7274386333</v>
      </c>
      <c r="C21" s="47">
        <f t="shared" ref="C21:H21" si="7">C18+C19+C20</f>
        <v>752156.34092982917</v>
      </c>
      <c r="D21" s="47">
        <f t="shared" si="7"/>
        <v>1128234.5113947438</v>
      </c>
      <c r="E21" s="47">
        <f t="shared" si="7"/>
        <v>1504312.6818596583</v>
      </c>
      <c r="F21" s="47">
        <f t="shared" si="7"/>
        <v>1504312.6818596583</v>
      </c>
      <c r="G21" s="47">
        <f t="shared" si="7"/>
        <v>1128234.5113947438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5" customHeight="1">
      <c r="A24" s="65" t="s">
        <v>23</v>
      </c>
      <c r="B24" s="42">
        <f>SUM(C24:P24)</f>
        <v>6017250.7274386333</v>
      </c>
      <c r="C24" s="66"/>
      <c r="D24" s="67">
        <f>+C21</f>
        <v>752156.34092982917</v>
      </c>
      <c r="E24" s="67">
        <f t="shared" ref="E24:I24" si="9">D21</f>
        <v>1128234.5113947438</v>
      </c>
      <c r="F24" s="67">
        <f t="shared" si="9"/>
        <v>1504312.6818596583</v>
      </c>
      <c r="G24" s="67">
        <f t="shared" si="9"/>
        <v>1504312.6818596583</v>
      </c>
      <c r="H24" s="67">
        <f t="shared" si="9"/>
        <v>1128234.5113947438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>
      <c r="A25" s="54" t="s">
        <v>24</v>
      </c>
      <c r="B25" s="69"/>
      <c r="C25" s="72">
        <f>D8*H6</f>
        <v>1805175.21823159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>
      <c r="A26" s="54" t="s">
        <v>25</v>
      </c>
      <c r="B26" s="46">
        <f>SUM(C26:P26)</f>
        <v>6017250.7274386333</v>
      </c>
      <c r="C26" s="72"/>
      <c r="D26" s="70">
        <f t="shared" ref="D26:F26" si="10">+C24</f>
        <v>0</v>
      </c>
      <c r="E26" s="70">
        <f t="shared" si="10"/>
        <v>752156.34092982917</v>
      </c>
      <c r="F26" s="70">
        <f t="shared" si="10"/>
        <v>1128234.5113947438</v>
      </c>
      <c r="G26" s="70">
        <f>+F24</f>
        <v>1504312.6818596583</v>
      </c>
      <c r="H26" s="70">
        <f>+G24</f>
        <v>1504312.6818596583</v>
      </c>
      <c r="I26" s="70">
        <f>+H24</f>
        <v>1128234.5113947438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>
      <c r="A27" s="54" t="s">
        <v>26</v>
      </c>
      <c r="B27" s="46">
        <f>SUM(C27:P27)</f>
        <v>1805175.21823159</v>
      </c>
      <c r="C27" s="72"/>
      <c r="D27" s="70">
        <f t="shared" ref="D27:H27" si="11">+D26*$H$6</f>
        <v>0</v>
      </c>
      <c r="E27" s="70">
        <f>+E26*$H$6</f>
        <v>225646.90227894875</v>
      </c>
      <c r="F27" s="70">
        <f t="shared" si="11"/>
        <v>338470.35341842315</v>
      </c>
      <c r="G27" s="70">
        <f t="shared" si="11"/>
        <v>451293.8045578975</v>
      </c>
      <c r="H27" s="70">
        <f t="shared" si="11"/>
        <v>451293.8045578975</v>
      </c>
      <c r="I27" s="70">
        <f>+I26*$H$6</f>
        <v>338470.35341842315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>
      <c r="A28" s="54" t="s">
        <v>27</v>
      </c>
      <c r="B28" s="46">
        <f>SUM(C28:P28)</f>
        <v>6017250.7274386343</v>
      </c>
      <c r="C28" s="72">
        <f>+C25</f>
        <v>1805175.21823159</v>
      </c>
      <c r="D28" s="70">
        <f>+D26-D27</f>
        <v>0</v>
      </c>
      <c r="E28" s="70">
        <f>+E26-E27</f>
        <v>526509.43865088047</v>
      </c>
      <c r="F28" s="70">
        <f t="shared" ref="F28:I28" si="12">+F26-F27+F25</f>
        <v>789764.15797632071</v>
      </c>
      <c r="G28" s="70">
        <f t="shared" si="12"/>
        <v>1053018.8773017609</v>
      </c>
      <c r="H28" s="70">
        <f t="shared" si="12"/>
        <v>1053018.8773017609</v>
      </c>
      <c r="I28" s="70">
        <f t="shared" si="12"/>
        <v>789764.15797632071</v>
      </c>
      <c r="J28" s="70"/>
      <c r="K28" s="70"/>
      <c r="L28" s="70"/>
      <c r="M28" s="70"/>
      <c r="N28" s="70"/>
      <c r="O28" s="70"/>
      <c r="P28" s="71"/>
    </row>
    <row r="29" spans="1:23" s="97" customFormat="1" ht="21.95" customHeight="1">
      <c r="A29" s="54" t="s">
        <v>28</v>
      </c>
      <c r="B29" s="69"/>
      <c r="C29" s="72"/>
      <c r="D29" s="70">
        <f t="shared" ref="D29:I29" si="13">C31*$D$6</f>
        <v>10073.787493428945</v>
      </c>
      <c r="E29" s="70">
        <f t="shared" si="13"/>
        <v>1122.0254112508653</v>
      </c>
      <c r="F29" s="70">
        <f t="shared" si="13"/>
        <v>-6410.3853269474439</v>
      </c>
      <c r="G29" s="70">
        <f t="shared" si="13"/>
        <v>-11640.58535530987</v>
      </c>
      <c r="H29" s="70">
        <f t="shared" si="13"/>
        <v>-11496.010142692892</v>
      </c>
      <c r="I29" s="70">
        <f t="shared" si="13"/>
        <v>-2169.8747255190028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>
      <c r="A30" s="55" t="s">
        <v>29</v>
      </c>
      <c r="B30" s="56"/>
      <c r="C30" s="73">
        <f>+C28</f>
        <v>1805175.21823159</v>
      </c>
      <c r="D30" s="74">
        <f t="shared" ref="D30:I30" si="14">+D28+C30+D29</f>
        <v>1815249.0057250189</v>
      </c>
      <c r="E30" s="74">
        <f t="shared" si="14"/>
        <v>2342880.4697871506</v>
      </c>
      <c r="F30" s="74">
        <f t="shared" si="14"/>
        <v>3126234.242436524</v>
      </c>
      <c r="G30" s="74">
        <f t="shared" si="14"/>
        <v>4167612.5343829752</v>
      </c>
      <c r="H30" s="74">
        <f t="shared" si="14"/>
        <v>5209135.4015420433</v>
      </c>
      <c r="I30" s="74">
        <f t="shared" si="14"/>
        <v>5996729.6847928455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>
      <c r="A31" s="65" t="s">
        <v>30</v>
      </c>
      <c r="B31" s="46"/>
      <c r="C31" s="66">
        <f>+C30-C22</f>
        <v>1125175.21823159</v>
      </c>
      <c r="D31" s="67">
        <f>+D30-D22+D29</f>
        <v>125322.79321844786</v>
      </c>
      <c r="E31" s="67">
        <f t="shared" ref="E31:I31" si="15">+E30+E29-E22</f>
        <v>-715997.50480159838</v>
      </c>
      <c r="F31" s="67">
        <f t="shared" si="15"/>
        <v>-1300176.1428904235</v>
      </c>
      <c r="G31" s="67">
        <f t="shared" si="15"/>
        <v>-1284028.0509723346</v>
      </c>
      <c r="H31" s="67">
        <f t="shared" si="15"/>
        <v>-242360.60860064998</v>
      </c>
      <c r="I31" s="67">
        <f t="shared" si="15"/>
        <v>554559.81006732676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>
      <c r="A32" s="54" t="s">
        <v>31</v>
      </c>
      <c r="B32" s="69"/>
      <c r="C32" s="72">
        <f t="shared" ref="C32:H32" si="16">+IF(C31&gt;0,C31)*$D$6</f>
        <v>10073.787493428945</v>
      </c>
      <c r="D32" s="72">
        <f t="shared" si="16"/>
        <v>1122.0254112508653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4965.020192850282</v>
      </c>
      <c r="J32" s="72"/>
      <c r="K32" s="72"/>
      <c r="L32" s="72"/>
      <c r="M32" s="72"/>
      <c r="N32" s="72"/>
      <c r="O32" s="72"/>
      <c r="P32" s="52"/>
    </row>
    <row r="33" spans="1:16" ht="34.5" customHeight="1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-9393.7082636207706</v>
      </c>
      <c r="F33" s="51">
        <f t="shared" si="17"/>
        <v>-17057.985950686634</v>
      </c>
      <c r="G33" s="51">
        <f t="shared" si="17"/>
        <v>-16846.127021744287</v>
      </c>
      <c r="H33" s="51">
        <f t="shared" si="17"/>
        <v>-3179.7105946883776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>
      <c r="A34" s="55" t="s">
        <v>33</v>
      </c>
      <c r="B34" s="56"/>
      <c r="C34" s="76">
        <f>+C32+C33</f>
        <v>10073.787493428945</v>
      </c>
      <c r="D34" s="77">
        <f t="shared" ref="D34:I34" si="18">+D32+D33+C34</f>
        <v>11195.812904679809</v>
      </c>
      <c r="E34" s="77">
        <f t="shared" si="18"/>
        <v>1802.1046410590388</v>
      </c>
      <c r="F34" s="77">
        <f t="shared" si="18"/>
        <v>-15255.881309627595</v>
      </c>
      <c r="G34" s="77">
        <f t="shared" si="18"/>
        <v>-32102.008331371882</v>
      </c>
      <c r="H34" s="77">
        <f t="shared" si="18"/>
        <v>-35281.718926060261</v>
      </c>
      <c r="I34" s="77">
        <f t="shared" si="18"/>
        <v>-30316.698733209978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>
      <c r="A36" s="80" t="s">
        <v>34</v>
      </c>
      <c r="B36" s="81"/>
      <c r="C36" s="82">
        <f t="shared" ref="C36:H36" si="19">+C34/$D$5</f>
        <v>1.851799171586203E-3</v>
      </c>
      <c r="D36" s="83">
        <f>+D34/$D$5</f>
        <v>2.0580538427720238E-3</v>
      </c>
      <c r="E36" s="83">
        <f t="shared" si="19"/>
        <v>3.3126923548879391E-4</v>
      </c>
      <c r="F36" s="83">
        <f t="shared" si="19"/>
        <v>-2.8043899466227199E-3</v>
      </c>
      <c r="G36" s="83">
        <f t="shared" si="19"/>
        <v>-5.9011044726786548E-3</v>
      </c>
      <c r="H36" s="83">
        <f t="shared" si="19"/>
        <v>-6.485610096702254E-3</v>
      </c>
      <c r="I36" s="83">
        <f>+I34/$D$5</f>
        <v>-5.5729225612518342E-3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>
      <c r="A37" s="85"/>
      <c r="B37" s="85"/>
      <c r="L37" s="2"/>
      <c r="M37" s="2"/>
      <c r="N37" s="2"/>
      <c r="O37" s="2"/>
      <c r="P37" s="86"/>
    </row>
    <row r="38" spans="1:16" ht="15" customHeight="1" thickBot="1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5.5729225612518342E-3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EDGAR ESPINOZA GARCIA</cp:lastModifiedBy>
  <dcterms:created xsi:type="dcterms:W3CDTF">2024-09-16T18:38:05Z</dcterms:created>
  <dcterms:modified xsi:type="dcterms:W3CDTF">2024-10-05T02:45:37Z</dcterms:modified>
</cp:coreProperties>
</file>