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15" documentId="8_{E9417292-5481-4EF4-B716-A58C88BB2671}" xr6:coauthVersionLast="47" xr6:coauthVersionMax="47" xr10:uidLastSave="{92380BAF-54CC-47B5-BAF0-5A6008978209}"/>
  <bookViews>
    <workbookView xWindow="-120" yWindow="-120" windowWidth="19800" windowHeight="11760" xr2:uid="{ED762CDD-8F57-4120-96A3-5318D0FBEFDE}"/>
  </bookViews>
  <sheets>
    <sheet name="Cálculo del costo financi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 s="1"/>
  <c r="D30" i="2"/>
  <c r="D16" i="2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D31" i="2" l="1"/>
  <c r="D32" i="2" s="1"/>
  <c r="B18" i="2"/>
  <c r="E19" i="2"/>
  <c r="E20" i="2" s="1"/>
  <c r="I19" i="2"/>
  <c r="I20" i="2" s="1"/>
  <c r="G19" i="2"/>
  <c r="G20" i="2" s="1"/>
  <c r="H19" i="2"/>
  <c r="H20" i="2" s="1"/>
  <c r="D19" i="2"/>
  <c r="D20" i="2" s="1"/>
  <c r="F19" i="2"/>
  <c r="F20" i="2" s="1"/>
  <c r="C19" i="2" l="1"/>
  <c r="C20" i="2" s="1"/>
  <c r="C21" i="2" s="1"/>
  <c r="C23" i="2" s="1"/>
  <c r="H21" i="2"/>
  <c r="H22" i="2" s="1"/>
  <c r="E21" i="2"/>
  <c r="E22" i="2" s="1"/>
  <c r="D21" i="2"/>
  <c r="D23" i="2" s="1"/>
  <c r="F21" i="2"/>
  <c r="F22" i="2" s="1"/>
  <c r="G21" i="2"/>
  <c r="G22" i="2" s="1"/>
  <c r="I21" i="2"/>
  <c r="I22" i="2" s="1"/>
  <c r="G23" i="2" l="1"/>
  <c r="G24" i="2" s="1"/>
  <c r="G25" i="2" s="1"/>
  <c r="H28" i="2" s="1"/>
  <c r="I30" i="2" s="1"/>
  <c r="C26" i="2"/>
  <c r="D26" i="2" s="1"/>
  <c r="E26" i="2" s="1"/>
  <c r="F26" i="2" s="1"/>
  <c r="G26" i="2" s="1"/>
  <c r="H26" i="2" s="1"/>
  <c r="I26" i="2" s="1"/>
  <c r="B19" i="2"/>
  <c r="B20" i="2" s="1"/>
  <c r="D9" i="2" s="1"/>
  <c r="C22" i="2"/>
  <c r="C24" i="2" s="1"/>
  <c r="E23" i="2"/>
  <c r="E24" i="2" s="1"/>
  <c r="E25" i="2" s="1"/>
  <c r="F28" i="2" s="1"/>
  <c r="G30" i="2" s="1"/>
  <c r="D22" i="2"/>
  <c r="D24" i="2" s="1"/>
  <c r="D25" i="2" s="1"/>
  <c r="E28" i="2" s="1"/>
  <c r="F30" i="2" s="1"/>
  <c r="H23" i="2"/>
  <c r="H24" i="2" s="1"/>
  <c r="H25" i="2" s="1"/>
  <c r="I28" i="2" s="1"/>
  <c r="I23" i="2"/>
  <c r="F23" i="2"/>
  <c r="B21" i="2"/>
  <c r="B22" i="2" l="1"/>
  <c r="I31" i="2"/>
  <c r="I32" i="2" s="1"/>
  <c r="I24" i="2"/>
  <c r="I25" i="2" s="1"/>
  <c r="B23" i="2"/>
  <c r="F24" i="2"/>
  <c r="F25" i="2" s="1"/>
  <c r="G28" i="2" s="1"/>
  <c r="H30" i="2" s="1"/>
  <c r="C25" i="2"/>
  <c r="F31" i="2"/>
  <c r="F32" i="2" s="1"/>
  <c r="G31" i="2"/>
  <c r="G32" i="2" s="1"/>
  <c r="H31" i="2" l="1"/>
  <c r="H32" i="2" s="1"/>
  <c r="B24" i="2"/>
  <c r="D28" i="2"/>
  <c r="B25" i="2"/>
  <c r="D12" i="2" s="1"/>
  <c r="D13" i="2" l="1"/>
  <c r="C29" i="2"/>
  <c r="C32" i="2" s="1"/>
  <c r="C34" i="2" s="1"/>
  <c r="C35" i="2" s="1"/>
  <c r="B28" i="2"/>
  <c r="E30" i="2"/>
  <c r="C37" i="2" l="1"/>
  <c r="C36" i="2"/>
  <c r="D33" i="2"/>
  <c r="D34" i="2" s="1"/>
  <c r="D35" i="2" s="1"/>
  <c r="E31" i="2"/>
  <c r="B31" i="2" s="1"/>
  <c r="B30" i="2"/>
  <c r="C38" i="2" l="1"/>
  <c r="C40" i="2" s="1"/>
  <c r="D37" i="2"/>
  <c r="E33" i="2"/>
  <c r="D36" i="2"/>
  <c r="E32" i="2"/>
  <c r="D38" i="2" l="1"/>
  <c r="D40" i="2" s="1"/>
  <c r="E34" i="2"/>
  <c r="B32" i="2"/>
  <c r="E35" i="2" l="1"/>
  <c r="E37" i="2" l="1"/>
  <c r="F33" i="2"/>
  <c r="F34" i="2" s="1"/>
  <c r="E36" i="2"/>
  <c r="E38" i="2" l="1"/>
  <c r="E40" i="2" s="1"/>
  <c r="F35" i="2"/>
  <c r="F37" i="2" l="1"/>
  <c r="G33" i="2"/>
  <c r="G34" i="2" s="1"/>
  <c r="F36" i="2"/>
  <c r="F38" i="2" l="1"/>
  <c r="F40" i="2" s="1"/>
  <c r="G35" i="2"/>
  <c r="H33" i="2" s="1"/>
  <c r="H34" i="2" l="1"/>
  <c r="G36" i="2"/>
  <c r="G37" i="2"/>
  <c r="G38" i="2" l="1"/>
  <c r="G40" i="2" s="1"/>
  <c r="H35" i="2"/>
  <c r="I33" i="2" l="1"/>
  <c r="I34" i="2" s="1"/>
  <c r="H36" i="2"/>
  <c r="H37" i="2"/>
  <c r="H38" i="2" l="1"/>
  <c r="H40" i="2" s="1"/>
  <c r="I35" i="2"/>
  <c r="I36" i="2" l="1"/>
  <c r="I37" i="2"/>
  <c r="I38" i="2" l="1"/>
  <c r="I40" i="2" s="1"/>
  <c r="I42" i="2" s="1"/>
  <c r="O10" i="2" l="1"/>
</calcChain>
</file>

<file path=xl/sharedStrings.xml><?xml version="1.0" encoding="utf-8"?>
<sst xmlns="http://schemas.openxmlformats.org/spreadsheetml/2006/main" count="41" uniqueCount="40">
  <si>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</si>
  <si>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</si>
  <si>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</si>
  <si>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</si>
  <si>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</si>
  <si>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</si>
  <si>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</si>
  <si>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</si>
  <si>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</si>
  <si>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</si>
  <si>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</si>
  <si>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</si>
  <si>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</si>
  <si>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</si>
  <si>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</si>
  <si>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</si>
  <si>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</si>
  <si>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</si>
  <si>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</si>
  <si>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</si>
  <si>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</si>
  <si>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</si>
  <si>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</si>
  <si>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</si>
  <si>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</si>
  <si>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</si>
  <si>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</si>
  <si>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</si>
  <si>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</si>
  <si>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</si>
  <si>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</si>
  <si>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</si>
  <si>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</si>
  <si>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</si>
  <si>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</si>
  <si>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</si>
  <si>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</si>
  <si>
    <t>MAESTRIA EN VALUACIÓN - INGENIERIA DE COSTOS</t>
  </si>
  <si>
    <t>ING. CÉSAR HUMBERTO MADERA ROBLES</t>
  </si>
  <si>
    <t>EJERCICIO NO. 3 - CÁLCULO DEL COSTO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</si>
</sst>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7DA5-E534-4F70-B6D5-75E0DE7A0DAA}">
  <dimension ref="A1:BM42"/>
  <sheetViews>
    <sheetView tabSelected="1" workbookViewId="0">
      <selection activeCell="T23" sqref="T23"/>
    </sheetView>
  </sheetViews>
  <sheetFormatPr baseColWidth="10" defaultColWidth="11.42578125" defaultRowHeight="10.5" x14ac:dyDescent="0.15"/>
  <cols>
    <col min="1" max="1" width="22.5703125" style="1" customWidth="1"/>
    <col min="2" max="2" width="12.7109375" style="1" customWidth="1"/>
    <col min="3" max="11" width="12.7109375" style="2" customWidth="1"/>
    <col min="12" max="16" width="12.7109375" style="1" customWidth="1"/>
    <col min="17" max="256" width="11.42578125" style="1"/>
    <col min="257" max="257" width="22.5703125" style="1" customWidth="1"/>
    <col min="258" max="272" width="12.7109375" style="1" customWidth="1"/>
    <col min="273" max="512" width="11.42578125" style="1"/>
    <col min="513" max="513" width="22.5703125" style="1" customWidth="1"/>
    <col min="514" max="528" width="12.7109375" style="1" customWidth="1"/>
    <col min="529" max="768" width="11.42578125" style="1"/>
    <col min="769" max="769" width="22.5703125" style="1" customWidth="1"/>
    <col min="770" max="784" width="12.7109375" style="1" customWidth="1"/>
    <col min="785" max="1024" width="11.42578125" style="1"/>
    <col min="1025" max="1025" width="22.5703125" style="1" customWidth="1"/>
    <col min="1026" max="1040" width="12.7109375" style="1" customWidth="1"/>
    <col min="1041" max="1280" width="11.42578125" style="1"/>
    <col min="1281" max="1281" width="22.5703125" style="1" customWidth="1"/>
    <col min="1282" max="1296" width="12.7109375" style="1" customWidth="1"/>
    <col min="1297" max="1536" width="11.42578125" style="1"/>
    <col min="1537" max="1537" width="22.5703125" style="1" customWidth="1"/>
    <col min="1538" max="1552" width="12.7109375" style="1" customWidth="1"/>
    <col min="1553" max="1792" width="11.42578125" style="1"/>
    <col min="1793" max="1793" width="22.5703125" style="1" customWidth="1"/>
    <col min="1794" max="1808" width="12.7109375" style="1" customWidth="1"/>
    <col min="1809" max="2048" width="11.42578125" style="1"/>
    <col min="2049" max="2049" width="22.5703125" style="1" customWidth="1"/>
    <col min="2050" max="2064" width="12.7109375" style="1" customWidth="1"/>
    <col min="2065" max="2304" width="11.42578125" style="1"/>
    <col min="2305" max="2305" width="22.5703125" style="1" customWidth="1"/>
    <col min="2306" max="2320" width="12.7109375" style="1" customWidth="1"/>
    <col min="2321" max="2560" width="11.42578125" style="1"/>
    <col min="2561" max="2561" width="22.5703125" style="1" customWidth="1"/>
    <col min="2562" max="2576" width="12.7109375" style="1" customWidth="1"/>
    <col min="2577" max="2816" width="11.42578125" style="1"/>
    <col min="2817" max="2817" width="22.5703125" style="1" customWidth="1"/>
    <col min="2818" max="2832" width="12.7109375" style="1" customWidth="1"/>
    <col min="2833" max="3072" width="11.42578125" style="1"/>
    <col min="3073" max="3073" width="22.5703125" style="1" customWidth="1"/>
    <col min="3074" max="3088" width="12.7109375" style="1" customWidth="1"/>
    <col min="3089" max="3328" width="11.42578125" style="1"/>
    <col min="3329" max="3329" width="22.5703125" style="1" customWidth="1"/>
    <col min="3330" max="3344" width="12.7109375" style="1" customWidth="1"/>
    <col min="3345" max="3584" width="11.42578125" style="1"/>
    <col min="3585" max="3585" width="22.5703125" style="1" customWidth="1"/>
    <col min="3586" max="3600" width="12.7109375" style="1" customWidth="1"/>
    <col min="3601" max="3840" width="11.42578125" style="1"/>
    <col min="3841" max="3841" width="22.5703125" style="1" customWidth="1"/>
    <col min="3842" max="3856" width="12.7109375" style="1" customWidth="1"/>
    <col min="3857" max="4096" width="11.42578125" style="1"/>
    <col min="4097" max="4097" width="22.5703125" style="1" customWidth="1"/>
    <col min="4098" max="4112" width="12.7109375" style="1" customWidth="1"/>
    <col min="4113" max="4352" width="11.42578125" style="1"/>
    <col min="4353" max="4353" width="22.5703125" style="1" customWidth="1"/>
    <col min="4354" max="4368" width="12.7109375" style="1" customWidth="1"/>
    <col min="4369" max="4608" width="11.42578125" style="1"/>
    <col min="4609" max="4609" width="22.5703125" style="1" customWidth="1"/>
    <col min="4610" max="4624" width="12.7109375" style="1" customWidth="1"/>
    <col min="4625" max="4864" width="11.42578125" style="1"/>
    <col min="4865" max="4865" width="22.5703125" style="1" customWidth="1"/>
    <col min="4866" max="4880" width="12.7109375" style="1" customWidth="1"/>
    <col min="4881" max="5120" width="11.42578125" style="1"/>
    <col min="5121" max="5121" width="22.5703125" style="1" customWidth="1"/>
    <col min="5122" max="5136" width="12.7109375" style="1" customWidth="1"/>
    <col min="5137" max="5376" width="11.42578125" style="1"/>
    <col min="5377" max="5377" width="22.5703125" style="1" customWidth="1"/>
    <col min="5378" max="5392" width="12.7109375" style="1" customWidth="1"/>
    <col min="5393" max="5632" width="11.42578125" style="1"/>
    <col min="5633" max="5633" width="22.5703125" style="1" customWidth="1"/>
    <col min="5634" max="5648" width="12.7109375" style="1" customWidth="1"/>
    <col min="5649" max="5888" width="11.42578125" style="1"/>
    <col min="5889" max="5889" width="22.5703125" style="1" customWidth="1"/>
    <col min="5890" max="5904" width="12.7109375" style="1" customWidth="1"/>
    <col min="5905" max="6144" width="11.42578125" style="1"/>
    <col min="6145" max="6145" width="22.5703125" style="1" customWidth="1"/>
    <col min="6146" max="6160" width="12.7109375" style="1" customWidth="1"/>
    <col min="6161" max="6400" width="11.42578125" style="1"/>
    <col min="6401" max="6401" width="22.5703125" style="1" customWidth="1"/>
    <col min="6402" max="6416" width="12.7109375" style="1" customWidth="1"/>
    <col min="6417" max="6656" width="11.42578125" style="1"/>
    <col min="6657" max="6657" width="22.5703125" style="1" customWidth="1"/>
    <col min="6658" max="6672" width="12.7109375" style="1" customWidth="1"/>
    <col min="6673" max="6912" width="11.42578125" style="1"/>
    <col min="6913" max="6913" width="22.5703125" style="1" customWidth="1"/>
    <col min="6914" max="6928" width="12.7109375" style="1" customWidth="1"/>
    <col min="6929" max="7168" width="11.42578125" style="1"/>
    <col min="7169" max="7169" width="22.5703125" style="1" customWidth="1"/>
    <col min="7170" max="7184" width="12.7109375" style="1" customWidth="1"/>
    <col min="7185" max="7424" width="11.42578125" style="1"/>
    <col min="7425" max="7425" width="22.5703125" style="1" customWidth="1"/>
    <col min="7426" max="7440" width="12.7109375" style="1" customWidth="1"/>
    <col min="7441" max="7680" width="11.42578125" style="1"/>
    <col min="7681" max="7681" width="22.5703125" style="1" customWidth="1"/>
    <col min="7682" max="7696" width="12.7109375" style="1" customWidth="1"/>
    <col min="7697" max="7936" width="11.42578125" style="1"/>
    <col min="7937" max="7937" width="22.5703125" style="1" customWidth="1"/>
    <col min="7938" max="7952" width="12.7109375" style="1" customWidth="1"/>
    <col min="7953" max="8192" width="11.42578125" style="1"/>
    <col min="8193" max="8193" width="22.5703125" style="1" customWidth="1"/>
    <col min="8194" max="8208" width="12.7109375" style="1" customWidth="1"/>
    <col min="8209" max="8448" width="11.42578125" style="1"/>
    <col min="8449" max="8449" width="22.5703125" style="1" customWidth="1"/>
    <col min="8450" max="8464" width="12.7109375" style="1" customWidth="1"/>
    <col min="8465" max="8704" width="11.42578125" style="1"/>
    <col min="8705" max="8705" width="22.5703125" style="1" customWidth="1"/>
    <col min="8706" max="8720" width="12.7109375" style="1" customWidth="1"/>
    <col min="8721" max="8960" width="11.42578125" style="1"/>
    <col min="8961" max="8961" width="22.5703125" style="1" customWidth="1"/>
    <col min="8962" max="8976" width="12.7109375" style="1" customWidth="1"/>
    <col min="8977" max="9216" width="11.42578125" style="1"/>
    <col min="9217" max="9217" width="22.5703125" style="1" customWidth="1"/>
    <col min="9218" max="9232" width="12.7109375" style="1" customWidth="1"/>
    <col min="9233" max="9472" width="11.42578125" style="1"/>
    <col min="9473" max="9473" width="22.5703125" style="1" customWidth="1"/>
    <col min="9474" max="9488" width="12.7109375" style="1" customWidth="1"/>
    <col min="9489" max="9728" width="11.42578125" style="1"/>
    <col min="9729" max="9729" width="22.5703125" style="1" customWidth="1"/>
    <col min="9730" max="9744" width="12.7109375" style="1" customWidth="1"/>
    <col min="9745" max="9984" width="11.42578125" style="1"/>
    <col min="9985" max="9985" width="22.5703125" style="1" customWidth="1"/>
    <col min="9986" max="10000" width="12.7109375" style="1" customWidth="1"/>
    <col min="10001" max="10240" width="11.42578125" style="1"/>
    <col min="10241" max="10241" width="22.5703125" style="1" customWidth="1"/>
    <col min="10242" max="10256" width="12.7109375" style="1" customWidth="1"/>
    <col min="10257" max="10496" width="11.42578125" style="1"/>
    <col min="10497" max="10497" width="22.5703125" style="1" customWidth="1"/>
    <col min="10498" max="10512" width="12.7109375" style="1" customWidth="1"/>
    <col min="10513" max="10752" width="11.42578125" style="1"/>
    <col min="10753" max="10753" width="22.5703125" style="1" customWidth="1"/>
    <col min="10754" max="10768" width="12.7109375" style="1" customWidth="1"/>
    <col min="10769" max="11008" width="11.42578125" style="1"/>
    <col min="11009" max="11009" width="22.5703125" style="1" customWidth="1"/>
    <col min="11010" max="11024" width="12.7109375" style="1" customWidth="1"/>
    <col min="11025" max="11264" width="11.42578125" style="1"/>
    <col min="11265" max="11265" width="22.5703125" style="1" customWidth="1"/>
    <col min="11266" max="11280" width="12.7109375" style="1" customWidth="1"/>
    <col min="11281" max="11520" width="11.42578125" style="1"/>
    <col min="11521" max="11521" width="22.5703125" style="1" customWidth="1"/>
    <col min="11522" max="11536" width="12.7109375" style="1" customWidth="1"/>
    <col min="11537" max="11776" width="11.42578125" style="1"/>
    <col min="11777" max="11777" width="22.5703125" style="1" customWidth="1"/>
    <col min="11778" max="11792" width="12.7109375" style="1" customWidth="1"/>
    <col min="11793" max="12032" width="11.42578125" style="1"/>
    <col min="12033" max="12033" width="22.5703125" style="1" customWidth="1"/>
    <col min="12034" max="12048" width="12.7109375" style="1" customWidth="1"/>
    <col min="12049" max="12288" width="11.42578125" style="1"/>
    <col min="12289" max="12289" width="22.5703125" style="1" customWidth="1"/>
    <col min="12290" max="12304" width="12.7109375" style="1" customWidth="1"/>
    <col min="12305" max="12544" width="11.42578125" style="1"/>
    <col min="12545" max="12545" width="22.5703125" style="1" customWidth="1"/>
    <col min="12546" max="12560" width="12.7109375" style="1" customWidth="1"/>
    <col min="12561" max="12800" width="11.42578125" style="1"/>
    <col min="12801" max="12801" width="22.5703125" style="1" customWidth="1"/>
    <col min="12802" max="12816" width="12.7109375" style="1" customWidth="1"/>
    <col min="12817" max="13056" width="11.42578125" style="1"/>
    <col min="13057" max="13057" width="22.5703125" style="1" customWidth="1"/>
    <col min="13058" max="13072" width="12.7109375" style="1" customWidth="1"/>
    <col min="13073" max="13312" width="11.42578125" style="1"/>
    <col min="13313" max="13313" width="22.5703125" style="1" customWidth="1"/>
    <col min="13314" max="13328" width="12.7109375" style="1" customWidth="1"/>
    <col min="13329" max="13568" width="11.42578125" style="1"/>
    <col min="13569" max="13569" width="22.5703125" style="1" customWidth="1"/>
    <col min="13570" max="13584" width="12.7109375" style="1" customWidth="1"/>
    <col min="13585" max="13824" width="11.42578125" style="1"/>
    <col min="13825" max="13825" width="22.5703125" style="1" customWidth="1"/>
    <col min="13826" max="13840" width="12.7109375" style="1" customWidth="1"/>
    <col min="13841" max="14080" width="11.42578125" style="1"/>
    <col min="14081" max="14081" width="22.5703125" style="1" customWidth="1"/>
    <col min="14082" max="14096" width="12.7109375" style="1" customWidth="1"/>
    <col min="14097" max="14336" width="11.42578125" style="1"/>
    <col min="14337" max="14337" width="22.5703125" style="1" customWidth="1"/>
    <col min="14338" max="14352" width="12.7109375" style="1" customWidth="1"/>
    <col min="14353" max="14592" width="11.42578125" style="1"/>
    <col min="14593" max="14593" width="22.5703125" style="1" customWidth="1"/>
    <col min="14594" max="14608" width="12.7109375" style="1" customWidth="1"/>
    <col min="14609" max="14848" width="11.42578125" style="1"/>
    <col min="14849" max="14849" width="22.5703125" style="1" customWidth="1"/>
    <col min="14850" max="14864" width="12.7109375" style="1" customWidth="1"/>
    <col min="14865" max="15104" width="11.42578125" style="1"/>
    <col min="15105" max="15105" width="22.5703125" style="1" customWidth="1"/>
    <col min="15106" max="15120" width="12.7109375" style="1" customWidth="1"/>
    <col min="15121" max="15360" width="11.42578125" style="1"/>
    <col min="15361" max="15361" width="22.5703125" style="1" customWidth="1"/>
    <col min="15362" max="15376" width="12.7109375" style="1" customWidth="1"/>
    <col min="15377" max="15616" width="11.42578125" style="1"/>
    <col min="15617" max="15617" width="22.5703125" style="1" customWidth="1"/>
    <col min="15618" max="15632" width="12.7109375" style="1" customWidth="1"/>
    <col min="15633" max="15872" width="11.42578125" style="1"/>
    <col min="15873" max="15873" width="22.5703125" style="1" customWidth="1"/>
    <col min="15874" max="15888" width="12.7109375" style="1" customWidth="1"/>
    <col min="15889" max="16128" width="11.42578125" style="1"/>
    <col min="16129" max="16129" width="22.5703125" style="1" customWidth="1"/>
    <col min="16130" max="16144" width="12.7109375" style="1" customWidth="1"/>
    <col min="16145" max="16384" width="11.42578125" style="1"/>
  </cols>
  <sheetData>
    <row r="1" spans="1:65" ht="5.0999999999999996" customHeight="1" x14ac:dyDescent="0.15"/>
    <row r="2" spans="1:65" s="115" customFormat="1" ht="12.75" x14ac:dyDescent="0.2">
      <c r="B2" s="116" t="s">
        <v>39</v>
      </c>
      <c r="C2" s="116"/>
      <c r="D2" s="116"/>
      <c r="E2" s="116"/>
      <c r="F2" s="116"/>
      <c r="G2" s="116"/>
      <c r="H2" s="116"/>
    </row>
    <row r="3" spans="1:65" s="115" customFormat="1" ht="12.75" x14ac:dyDescent="0.2">
      <c r="B3" s="116" t="s">
        <v>37</v>
      </c>
      <c r="C3" s="116"/>
      <c r="D3" s="116"/>
      <c r="E3" s="116"/>
      <c r="F3" s="116"/>
      <c r="G3" s="116"/>
      <c r="H3" s="116"/>
    </row>
    <row r="4" spans="1:65" s="115" customFormat="1" ht="12.75" x14ac:dyDescent="0.2">
      <c r="B4" s="116" t="s">
        <v>38</v>
      </c>
      <c r="C4" s="116"/>
      <c r="D4" s="116"/>
      <c r="E4" s="116"/>
      <c r="F4" s="116"/>
      <c r="G4" s="116"/>
      <c r="H4" s="116"/>
    </row>
    <row r="5" spans="1:65" s="115" customFormat="1" ht="13.5" thickBot="1" x14ac:dyDescent="0.25">
      <c r="B5" s="117"/>
      <c r="C5" s="117"/>
      <c r="D5" s="117"/>
      <c r="E5" s="117"/>
      <c r="F5" s="117"/>
      <c r="G5" s="117"/>
      <c r="H5" s="117"/>
    </row>
    <row r="6" spans="1:65" s="93" customFormat="1" ht="12.75" x14ac:dyDescent="0.25">
      <c r="A6" s="3" t="s">
        <v>0</v>
      </c>
      <c r="B6" s="4"/>
      <c r="C6" s="5"/>
      <c r="D6" s="6"/>
      <c r="E6" s="5"/>
      <c r="F6" s="5"/>
      <c r="G6" s="5"/>
      <c r="H6" s="5"/>
      <c r="I6" s="5"/>
      <c r="J6" s="5"/>
      <c r="K6" s="5"/>
      <c r="L6" s="7"/>
      <c r="M6" s="106"/>
      <c r="N6" s="107"/>
      <c r="O6" s="107"/>
      <c r="P6" s="108"/>
    </row>
    <row r="7" spans="1:65" s="93" customFormat="1" ht="13.5" thickBot="1" x14ac:dyDescent="0.3">
      <c r="A7" s="8" t="s">
        <v>1</v>
      </c>
      <c r="B7" s="9"/>
      <c r="C7" s="10"/>
      <c r="D7" s="10"/>
      <c r="E7" s="10"/>
      <c r="F7" s="10"/>
      <c r="G7" s="10"/>
      <c r="H7" s="10"/>
      <c r="I7" s="10"/>
      <c r="J7" s="11"/>
      <c r="K7" s="11"/>
      <c r="L7" s="12"/>
      <c r="M7" s="109"/>
      <c r="N7" s="110"/>
      <c r="O7" s="110"/>
      <c r="P7" s="111"/>
    </row>
    <row r="8" spans="1:65" ht="5.0999999999999996" customHeight="1" thickBot="1" x14ac:dyDescent="0.2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4"/>
      <c r="M8" s="14"/>
      <c r="N8" s="14"/>
      <c r="O8" s="14"/>
      <c r="P8" s="16"/>
    </row>
    <row r="9" spans="1:65" ht="14.45" customHeight="1" thickBot="1" x14ac:dyDescent="0.3">
      <c r="A9" s="17" t="s">
        <v>2</v>
      </c>
      <c r="B9" s="18"/>
      <c r="D9" s="19">
        <f>B20</f>
        <v>5319800</v>
      </c>
      <c r="E9" s="20"/>
      <c r="F9" s="18" t="s">
        <v>3</v>
      </c>
      <c r="H9" s="101">
        <v>0.32995000000000002</v>
      </c>
      <c r="I9" s="1"/>
      <c r="J9" s="1"/>
      <c r="K9" s="1"/>
      <c r="L9" s="20"/>
      <c r="O9" s="105">
        <v>5.5999999999999999E-3</v>
      </c>
      <c r="P9" s="21"/>
      <c r="R9" s="1" t="s">
        <v>36</v>
      </c>
    </row>
    <row r="10" spans="1:65" ht="14.45" customHeight="1" thickBot="1" x14ac:dyDescent="0.3">
      <c r="A10" s="17" t="s">
        <v>4</v>
      </c>
      <c r="B10" s="18"/>
      <c r="D10" s="98">
        <f>0.1074/12</f>
        <v>8.9499999999999996E-3</v>
      </c>
      <c r="E10" s="22"/>
      <c r="F10" s="20" t="s">
        <v>5</v>
      </c>
      <c r="H10" s="102">
        <v>0.3</v>
      </c>
      <c r="I10" s="1"/>
      <c r="J10" s="1"/>
      <c r="K10" s="1"/>
      <c r="L10" s="20"/>
      <c r="O10" s="23">
        <f>I42</f>
        <v>5.5696176073554522E-3</v>
      </c>
      <c r="P10" s="21"/>
      <c r="S10" s="24"/>
    </row>
    <row r="11" spans="1:65" ht="14.45" customHeight="1" thickBot="1" x14ac:dyDescent="0.3">
      <c r="A11" s="17" t="s">
        <v>6</v>
      </c>
      <c r="B11" s="18"/>
      <c r="D11" s="101">
        <f>D10+0.05/12</f>
        <v>1.3116666666666665E-2</v>
      </c>
      <c r="E11" s="22"/>
      <c r="F11" s="20" t="s">
        <v>7</v>
      </c>
      <c r="G11" s="1"/>
      <c r="H11" s="103">
        <v>0.1</v>
      </c>
      <c r="I11" s="1"/>
      <c r="J11" s="1"/>
      <c r="K11" s="1"/>
      <c r="L11" s="20"/>
      <c r="O11" s="24"/>
      <c r="P11" s="21"/>
      <c r="S11" s="24"/>
    </row>
    <row r="12" spans="1:65" ht="14.45" customHeight="1" thickBot="1" x14ac:dyDescent="0.3">
      <c r="A12" s="17" t="s">
        <v>8</v>
      </c>
      <c r="B12" s="18"/>
      <c r="D12" s="19">
        <f>B25</f>
        <v>5884549.9679999994</v>
      </c>
      <c r="E12" s="25"/>
      <c r="F12" s="20" t="s">
        <v>9</v>
      </c>
      <c r="G12" s="1"/>
      <c r="H12" s="102">
        <v>0</v>
      </c>
      <c r="I12" s="1"/>
      <c r="J12" s="1"/>
      <c r="K12" s="1"/>
      <c r="L12" s="20"/>
      <c r="N12" s="26"/>
      <c r="O12" s="24"/>
      <c r="P12" s="21"/>
      <c r="S12" s="24"/>
    </row>
    <row r="13" spans="1:65" ht="14.45" customHeight="1" thickBot="1" x14ac:dyDescent="0.3">
      <c r="A13" s="17" t="s">
        <v>10</v>
      </c>
      <c r="B13" s="18"/>
      <c r="D13" s="19">
        <f>+D12*1.16</f>
        <v>6826077.9628799986</v>
      </c>
      <c r="F13" s="20" t="s">
        <v>11</v>
      </c>
      <c r="G13" s="27"/>
      <c r="H13" s="104">
        <v>0.107437</v>
      </c>
      <c r="I13" s="1"/>
      <c r="J13" s="1"/>
      <c r="K13" s="1"/>
      <c r="L13" s="27"/>
      <c r="O13" s="24"/>
      <c r="P13" s="21"/>
      <c r="S13" s="24"/>
    </row>
    <row r="14" spans="1:65" ht="5.0999999999999996" customHeight="1" thickBo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29"/>
      <c r="M14" s="29"/>
      <c r="N14" s="29"/>
      <c r="O14" s="29"/>
      <c r="P14" s="31"/>
    </row>
    <row r="15" spans="1:65" ht="13.5" thickBot="1" x14ac:dyDescent="0.3">
      <c r="A15" s="112" t="s">
        <v>12</v>
      </c>
      <c r="B15" s="114" t="s">
        <v>13</v>
      </c>
      <c r="C15" s="32" t="s">
        <v>14</v>
      </c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3"/>
      <c r="O15" s="33"/>
      <c r="P15" s="35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</row>
    <row r="16" spans="1:65" ht="13.5" thickBot="1" x14ac:dyDescent="0.3">
      <c r="A16" s="113"/>
      <c r="B16" s="113"/>
      <c r="C16" s="99">
        <v>1</v>
      </c>
      <c r="D16" s="36">
        <f>+C16+1</f>
        <v>2</v>
      </c>
      <c r="E16" s="36">
        <f t="shared" ref="E16:P16" si="0">+D16+1</f>
        <v>3</v>
      </c>
      <c r="F16" s="36">
        <f t="shared" si="0"/>
        <v>4</v>
      </c>
      <c r="G16" s="36">
        <f t="shared" si="0"/>
        <v>5</v>
      </c>
      <c r="H16" s="36">
        <f t="shared" si="0"/>
        <v>6</v>
      </c>
      <c r="I16" s="36">
        <f t="shared" si="0"/>
        <v>7</v>
      </c>
      <c r="J16" s="36">
        <f t="shared" si="0"/>
        <v>8</v>
      </c>
      <c r="K16" s="36">
        <f t="shared" si="0"/>
        <v>9</v>
      </c>
      <c r="L16" s="36">
        <f t="shared" si="0"/>
        <v>10</v>
      </c>
      <c r="M16" s="36">
        <f t="shared" si="0"/>
        <v>11</v>
      </c>
      <c r="N16" s="36">
        <f t="shared" si="0"/>
        <v>12</v>
      </c>
      <c r="O16" s="36">
        <f t="shared" si="0"/>
        <v>13</v>
      </c>
      <c r="P16" s="36">
        <f t="shared" si="0"/>
        <v>14</v>
      </c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</row>
    <row r="17" spans="1:23" ht="5.0999999999999996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40"/>
      <c r="N17" s="40"/>
      <c r="O17" s="40"/>
      <c r="P17" s="16"/>
    </row>
    <row r="18" spans="1:23" ht="18.75" customHeight="1" x14ac:dyDescent="0.15">
      <c r="A18" s="41" t="s">
        <v>15</v>
      </c>
      <c r="B18" s="42">
        <f>SUM(C18:P18)</f>
        <v>4000000</v>
      </c>
      <c r="C18" s="100">
        <v>500000</v>
      </c>
      <c r="D18" s="100">
        <v>750000</v>
      </c>
      <c r="E18" s="100">
        <v>1000000</v>
      </c>
      <c r="F18" s="100">
        <v>1000000</v>
      </c>
      <c r="G18" s="100">
        <v>750000</v>
      </c>
      <c r="H18" s="43"/>
      <c r="I18" s="43"/>
      <c r="J18" s="43"/>
      <c r="K18" s="43"/>
      <c r="L18" s="43"/>
      <c r="M18" s="43"/>
      <c r="N18" s="43"/>
      <c r="O18" s="43"/>
      <c r="P18" s="44"/>
    </row>
    <row r="19" spans="1:23" ht="18.75" customHeight="1" x14ac:dyDescent="0.15">
      <c r="A19" s="45" t="s">
        <v>16</v>
      </c>
      <c r="B19" s="46">
        <f>SUM(C19:P19)</f>
        <v>1319800</v>
      </c>
      <c r="C19" s="47">
        <f t="shared" ref="C19:H19" si="1">+C18*$H$9</f>
        <v>164975</v>
      </c>
      <c r="D19" s="48">
        <f t="shared" si="1"/>
        <v>247462.50000000003</v>
      </c>
      <c r="E19" s="48">
        <f t="shared" si="1"/>
        <v>329950</v>
      </c>
      <c r="F19" s="48">
        <f t="shared" si="1"/>
        <v>329950</v>
      </c>
      <c r="G19" s="48">
        <f t="shared" si="1"/>
        <v>247462.50000000003</v>
      </c>
      <c r="H19" s="48">
        <f t="shared" si="1"/>
        <v>0</v>
      </c>
      <c r="I19" s="48">
        <f>+I18*$H$9</f>
        <v>0</v>
      </c>
      <c r="J19" s="48"/>
      <c r="K19" s="48"/>
      <c r="L19" s="48"/>
      <c r="M19" s="48"/>
      <c r="N19" s="48"/>
      <c r="O19" s="48"/>
      <c r="P19" s="49"/>
      <c r="R19" s="95"/>
      <c r="S19" s="95"/>
      <c r="T19" s="95"/>
      <c r="U19" s="95"/>
      <c r="V19" s="95"/>
      <c r="W19" s="95"/>
    </row>
    <row r="20" spans="1:23" ht="18.75" customHeight="1" x14ac:dyDescent="0.15">
      <c r="A20" s="45" t="s">
        <v>17</v>
      </c>
      <c r="B20" s="46">
        <f t="shared" ref="B20:H20" si="2">B18+B19</f>
        <v>5319800</v>
      </c>
      <c r="C20" s="50">
        <f t="shared" si="2"/>
        <v>664975</v>
      </c>
      <c r="D20" s="51">
        <f t="shared" si="2"/>
        <v>997462.5</v>
      </c>
      <c r="E20" s="51">
        <f t="shared" si="2"/>
        <v>1329950</v>
      </c>
      <c r="F20" s="51">
        <f t="shared" si="2"/>
        <v>1329950</v>
      </c>
      <c r="G20" s="51">
        <f t="shared" si="2"/>
        <v>997462.5</v>
      </c>
      <c r="H20" s="51">
        <f t="shared" si="2"/>
        <v>0</v>
      </c>
      <c r="I20" s="51">
        <f>I18+I19</f>
        <v>0</v>
      </c>
      <c r="J20" s="51"/>
      <c r="K20" s="51"/>
      <c r="L20" s="51"/>
      <c r="M20" s="51"/>
      <c r="N20" s="51"/>
      <c r="O20" s="51"/>
      <c r="P20" s="52"/>
      <c r="R20" s="95"/>
      <c r="S20" s="95"/>
      <c r="T20" s="95"/>
      <c r="U20" s="95"/>
      <c r="V20" s="95"/>
      <c r="W20" s="95"/>
    </row>
    <row r="21" spans="1:23" ht="18.75" customHeight="1" x14ac:dyDescent="0.15">
      <c r="A21" s="45" t="s">
        <v>18</v>
      </c>
      <c r="B21" s="46">
        <f>SUM(C21:P21)</f>
        <v>29790.880000000001</v>
      </c>
      <c r="C21" s="47">
        <f t="shared" ref="C21:H21" si="3">+(C20)*$O$9</f>
        <v>3723.86</v>
      </c>
      <c r="D21" s="47">
        <f t="shared" si="3"/>
        <v>5585.79</v>
      </c>
      <c r="E21" s="47">
        <f t="shared" si="3"/>
        <v>7447.72</v>
      </c>
      <c r="F21" s="47">
        <f t="shared" si="3"/>
        <v>7447.72</v>
      </c>
      <c r="G21" s="47">
        <f t="shared" si="3"/>
        <v>5585.79</v>
      </c>
      <c r="H21" s="47">
        <f t="shared" si="3"/>
        <v>0</v>
      </c>
      <c r="I21" s="47">
        <f>+(I20)*$O$9</f>
        <v>0</v>
      </c>
      <c r="J21" s="47"/>
      <c r="K21" s="47"/>
      <c r="L21" s="47"/>
      <c r="M21" s="47"/>
      <c r="N21" s="47"/>
      <c r="O21" s="47"/>
      <c r="P21" s="53"/>
      <c r="R21" s="96"/>
      <c r="S21" s="96"/>
      <c r="T21" s="96"/>
      <c r="U21" s="96"/>
      <c r="V21" s="96"/>
      <c r="W21" s="96"/>
    </row>
    <row r="22" spans="1:23" ht="18.75" customHeight="1" x14ac:dyDescent="0.15">
      <c r="A22" s="54" t="s">
        <v>19</v>
      </c>
      <c r="B22" s="46">
        <f>SUM(C22:P22)</f>
        <v>5349590.88</v>
      </c>
      <c r="C22" s="47">
        <f t="shared" ref="C22:H22" si="4">C20+C21</f>
        <v>668698.86</v>
      </c>
      <c r="D22" s="47">
        <f t="shared" si="4"/>
        <v>1003048.29</v>
      </c>
      <c r="E22" s="47">
        <f t="shared" si="4"/>
        <v>1337397.72</v>
      </c>
      <c r="F22" s="47">
        <f t="shared" si="4"/>
        <v>1337397.72</v>
      </c>
      <c r="G22" s="47">
        <f t="shared" si="4"/>
        <v>1003048.29</v>
      </c>
      <c r="H22" s="47">
        <f t="shared" si="4"/>
        <v>0</v>
      </c>
      <c r="I22" s="47">
        <f>I20+I21</f>
        <v>0</v>
      </c>
      <c r="J22" s="47"/>
      <c r="K22" s="47"/>
      <c r="L22" s="47"/>
      <c r="M22" s="47"/>
      <c r="N22" s="47"/>
      <c r="O22" s="47"/>
      <c r="P22" s="53"/>
      <c r="R22" s="96"/>
      <c r="S22" s="96"/>
      <c r="T22" s="96"/>
      <c r="U22" s="96"/>
      <c r="V22" s="96"/>
      <c r="W22" s="96"/>
    </row>
    <row r="23" spans="1:23" ht="18.75" customHeight="1" x14ac:dyDescent="0.15">
      <c r="A23" s="45" t="s">
        <v>20</v>
      </c>
      <c r="B23" s="46">
        <f>SUM(C23:P23)</f>
        <v>534959.08799999999</v>
      </c>
      <c r="C23" s="47">
        <f t="shared" ref="C23:H23" si="5">+(C20+C21)*$H$11</f>
        <v>66869.885999999999</v>
      </c>
      <c r="D23" s="47">
        <f t="shared" si="5"/>
        <v>100304.82900000001</v>
      </c>
      <c r="E23" s="47">
        <f t="shared" si="5"/>
        <v>133739.772</v>
      </c>
      <c r="F23" s="47">
        <f t="shared" si="5"/>
        <v>133739.772</v>
      </c>
      <c r="G23" s="47">
        <f t="shared" si="5"/>
        <v>100304.82900000001</v>
      </c>
      <c r="H23" s="47">
        <f t="shared" si="5"/>
        <v>0</v>
      </c>
      <c r="I23" s="47">
        <f>+(I20+I21)*$H$11</f>
        <v>0</v>
      </c>
      <c r="J23" s="47"/>
      <c r="K23" s="47"/>
      <c r="L23" s="47"/>
      <c r="M23" s="47"/>
      <c r="N23" s="47"/>
      <c r="O23" s="47"/>
      <c r="P23" s="53"/>
    </row>
    <row r="24" spans="1:23" ht="18.75" customHeight="1" x14ac:dyDescent="0.15">
      <c r="A24" s="45" t="s">
        <v>9</v>
      </c>
      <c r="B24" s="46">
        <f>SUM(C24:P24)</f>
        <v>0</v>
      </c>
      <c r="C24" s="47">
        <f t="shared" ref="C24:H24" si="6">(+(SUM(C22:C23))/(1-$H$12))*$H$12</f>
        <v>0</v>
      </c>
      <c r="D24" s="47">
        <f t="shared" si="6"/>
        <v>0</v>
      </c>
      <c r="E24" s="47">
        <f t="shared" si="6"/>
        <v>0</v>
      </c>
      <c r="F24" s="47">
        <f t="shared" si="6"/>
        <v>0</v>
      </c>
      <c r="G24" s="47">
        <f t="shared" si="6"/>
        <v>0</v>
      </c>
      <c r="H24" s="47">
        <f t="shared" si="6"/>
        <v>0</v>
      </c>
      <c r="I24" s="47">
        <f>(+(SUM(I22:I23))/(1-$H$12))*$H$12</f>
        <v>0</v>
      </c>
      <c r="J24" s="47"/>
      <c r="K24" s="47"/>
      <c r="L24" s="47"/>
      <c r="M24" s="47"/>
      <c r="N24" s="47"/>
      <c r="O24" s="47"/>
      <c r="P24" s="53"/>
    </row>
    <row r="25" spans="1:23" ht="18.75" customHeight="1" x14ac:dyDescent="0.15">
      <c r="A25" s="45" t="s">
        <v>21</v>
      </c>
      <c r="B25" s="46">
        <f>SUM(C25:P25)</f>
        <v>5884549.9679999994</v>
      </c>
      <c r="C25" s="47">
        <f t="shared" ref="C25:H25" si="7">C22+C23+C24</f>
        <v>735568.74600000004</v>
      </c>
      <c r="D25" s="47">
        <f t="shared" si="7"/>
        <v>1103353.1189999999</v>
      </c>
      <c r="E25" s="47">
        <f t="shared" si="7"/>
        <v>1471137.4920000001</v>
      </c>
      <c r="F25" s="47">
        <f t="shared" si="7"/>
        <v>1471137.4920000001</v>
      </c>
      <c r="G25" s="47">
        <f t="shared" si="7"/>
        <v>1103353.1189999999</v>
      </c>
      <c r="H25" s="47">
        <f t="shared" si="7"/>
        <v>0</v>
      </c>
      <c r="I25" s="47">
        <f>I22+I23+I24</f>
        <v>0</v>
      </c>
      <c r="J25" s="47"/>
      <c r="K25" s="47"/>
      <c r="L25" s="47"/>
      <c r="M25" s="47"/>
      <c r="N25" s="47"/>
      <c r="O25" s="47"/>
      <c r="P25" s="53"/>
    </row>
    <row r="26" spans="1:23" s="97" customFormat="1" ht="22.5" customHeight="1" thickBot="1" x14ac:dyDescent="0.3">
      <c r="A26" s="55" t="s">
        <v>22</v>
      </c>
      <c r="B26" s="56"/>
      <c r="C26" s="57">
        <f>+C20</f>
        <v>664975</v>
      </c>
      <c r="D26" s="58">
        <f t="shared" ref="D26:I26" si="8">+C26+D20</f>
        <v>1662437.5</v>
      </c>
      <c r="E26" s="58">
        <f t="shared" si="8"/>
        <v>2992387.5</v>
      </c>
      <c r="F26" s="58">
        <f t="shared" si="8"/>
        <v>4322337.5</v>
      </c>
      <c r="G26" s="58">
        <f t="shared" si="8"/>
        <v>5319800</v>
      </c>
      <c r="H26" s="58">
        <f t="shared" si="8"/>
        <v>5319800</v>
      </c>
      <c r="I26" s="58">
        <f t="shared" si="8"/>
        <v>5319800</v>
      </c>
      <c r="J26" s="58"/>
      <c r="K26" s="58"/>
      <c r="L26" s="58"/>
      <c r="M26" s="58"/>
      <c r="N26" s="58"/>
      <c r="O26" s="58"/>
      <c r="P26" s="59"/>
    </row>
    <row r="27" spans="1:23" ht="8.1" customHeight="1" x14ac:dyDescent="0.15">
      <c r="A27" s="60"/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</row>
    <row r="28" spans="1:23" s="97" customFormat="1" ht="21.95" customHeight="1" x14ac:dyDescent="0.25">
      <c r="A28" s="65" t="s">
        <v>23</v>
      </c>
      <c r="B28" s="42">
        <f>SUM(C28:P28)</f>
        <v>5884549.9679999994</v>
      </c>
      <c r="C28" s="66"/>
      <c r="D28" s="67">
        <f>+C25</f>
        <v>735568.74600000004</v>
      </c>
      <c r="E28" s="67">
        <f t="shared" ref="E28:I28" si="9">D25</f>
        <v>1103353.1189999999</v>
      </c>
      <c r="F28" s="67">
        <f t="shared" si="9"/>
        <v>1471137.4920000001</v>
      </c>
      <c r="G28" s="67">
        <f t="shared" si="9"/>
        <v>1471137.4920000001</v>
      </c>
      <c r="H28" s="67">
        <f t="shared" si="9"/>
        <v>1103353.1189999999</v>
      </c>
      <c r="I28" s="67">
        <f t="shared" si="9"/>
        <v>0</v>
      </c>
      <c r="J28" s="67"/>
      <c r="K28" s="67"/>
      <c r="L28" s="67"/>
      <c r="M28" s="67"/>
      <c r="N28" s="67"/>
      <c r="O28" s="67"/>
      <c r="P28" s="68"/>
    </row>
    <row r="29" spans="1:23" s="97" customFormat="1" ht="20.100000000000001" customHeight="1" x14ac:dyDescent="0.25">
      <c r="A29" s="54" t="s">
        <v>24</v>
      </c>
      <c r="B29" s="69"/>
      <c r="C29" s="72">
        <f>D12*H10</f>
        <v>1765364.9903999998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1"/>
    </row>
    <row r="30" spans="1:23" s="97" customFormat="1" ht="24" customHeight="1" x14ac:dyDescent="0.25">
      <c r="A30" s="54" t="s">
        <v>25</v>
      </c>
      <c r="B30" s="46">
        <f>SUM(C30:P30)</f>
        <v>5884549.9679999994</v>
      </c>
      <c r="C30" s="72"/>
      <c r="D30" s="70">
        <f t="shared" ref="D30:F30" si="10">+C28</f>
        <v>0</v>
      </c>
      <c r="E30" s="70">
        <f t="shared" si="10"/>
        <v>735568.74600000004</v>
      </c>
      <c r="F30" s="70">
        <f t="shared" si="10"/>
        <v>1103353.1189999999</v>
      </c>
      <c r="G30" s="70">
        <f>+F28</f>
        <v>1471137.4920000001</v>
      </c>
      <c r="H30" s="70">
        <f>+G28</f>
        <v>1471137.4920000001</v>
      </c>
      <c r="I30" s="70">
        <f>+H28</f>
        <v>1103353.1189999999</v>
      </c>
      <c r="J30" s="70"/>
      <c r="K30" s="70"/>
      <c r="L30" s="70"/>
      <c r="M30" s="70"/>
      <c r="N30" s="70"/>
      <c r="O30" s="70"/>
      <c r="P30" s="71"/>
    </row>
    <row r="31" spans="1:23" s="97" customFormat="1" ht="23.25" customHeight="1" x14ac:dyDescent="0.25">
      <c r="A31" s="54" t="s">
        <v>26</v>
      </c>
      <c r="B31" s="46">
        <f>SUM(C31:P31)</f>
        <v>1765364.9904</v>
      </c>
      <c r="C31" s="72"/>
      <c r="D31" s="70">
        <f t="shared" ref="D31:H31" si="11">+D30*$H$10</f>
        <v>0</v>
      </c>
      <c r="E31" s="70">
        <f>+E30*$H$10</f>
        <v>220670.6238</v>
      </c>
      <c r="F31" s="70">
        <f t="shared" si="11"/>
        <v>331005.93569999997</v>
      </c>
      <c r="G31" s="70">
        <f t="shared" si="11"/>
        <v>441341.2476</v>
      </c>
      <c r="H31" s="70">
        <f t="shared" si="11"/>
        <v>441341.2476</v>
      </c>
      <c r="I31" s="70">
        <f>+I30*$H$10</f>
        <v>331005.93569999997</v>
      </c>
      <c r="J31" s="70"/>
      <c r="K31" s="70"/>
      <c r="L31" s="70"/>
      <c r="M31" s="70"/>
      <c r="N31" s="70"/>
      <c r="O31" s="70"/>
      <c r="P31" s="71"/>
    </row>
    <row r="32" spans="1:23" s="97" customFormat="1" ht="20.100000000000001" customHeight="1" x14ac:dyDescent="0.25">
      <c r="A32" s="54" t="s">
        <v>27</v>
      </c>
      <c r="B32" s="46">
        <f>SUM(C32:P32)</f>
        <v>5884549.9679999994</v>
      </c>
      <c r="C32" s="72">
        <f>+C29</f>
        <v>1765364.9903999998</v>
      </c>
      <c r="D32" s="70">
        <f>+D30-D31</f>
        <v>0</v>
      </c>
      <c r="E32" s="70">
        <f>+E30-E31</f>
        <v>514898.12220000004</v>
      </c>
      <c r="F32" s="70">
        <f t="shared" ref="F32:I32" si="12">+F30-F31+F29</f>
        <v>772347.18329999992</v>
      </c>
      <c r="G32" s="70">
        <f t="shared" si="12"/>
        <v>1029796.2444000001</v>
      </c>
      <c r="H32" s="70">
        <f t="shared" si="12"/>
        <v>1029796.2444000001</v>
      </c>
      <c r="I32" s="70">
        <f t="shared" si="12"/>
        <v>772347.18329999992</v>
      </c>
      <c r="J32" s="70"/>
      <c r="K32" s="70"/>
      <c r="L32" s="70"/>
      <c r="M32" s="70"/>
      <c r="N32" s="70"/>
      <c r="O32" s="70"/>
      <c r="P32" s="71"/>
    </row>
    <row r="33" spans="1:16" s="97" customFormat="1" ht="21.95" customHeight="1" x14ac:dyDescent="0.25">
      <c r="A33" s="54" t="s">
        <v>28</v>
      </c>
      <c r="B33" s="69"/>
      <c r="C33" s="72"/>
      <c r="D33" s="70">
        <f t="shared" ref="D33:I33" si="13">C35*$D$10</f>
        <v>9848.4904140799972</v>
      </c>
      <c r="E33" s="70">
        <f t="shared" si="13"/>
        <v>1097.4890174920297</v>
      </c>
      <c r="F33" s="70">
        <f t="shared" si="13"/>
        <v>-6265.7242246108754</v>
      </c>
      <c r="G33" s="70">
        <f t="shared" si="13"/>
        <v>-11378.248424402966</v>
      </c>
      <c r="H33" s="70">
        <f t="shared" si="13"/>
        <v>-11236.453827009509</v>
      </c>
      <c r="I33" s="70">
        <f t="shared" si="13"/>
        <v>-2119.0746397345724</v>
      </c>
      <c r="J33" s="70"/>
      <c r="K33" s="70"/>
      <c r="L33" s="70"/>
      <c r="M33" s="70"/>
      <c r="N33" s="70"/>
      <c r="O33" s="70"/>
      <c r="P33" s="71"/>
    </row>
    <row r="34" spans="1:16" s="97" customFormat="1" ht="20.100000000000001" customHeight="1" thickBot="1" x14ac:dyDescent="0.3">
      <c r="A34" s="55" t="s">
        <v>29</v>
      </c>
      <c r="B34" s="56"/>
      <c r="C34" s="73">
        <f>+C32</f>
        <v>1765364.9903999998</v>
      </c>
      <c r="D34" s="74">
        <f t="shared" ref="D34:I34" si="14">+D32+C34+D33</f>
        <v>1775213.4808140798</v>
      </c>
      <c r="E34" s="74">
        <f t="shared" si="14"/>
        <v>2291209.092031572</v>
      </c>
      <c r="F34" s="74">
        <f t="shared" si="14"/>
        <v>3057290.551106961</v>
      </c>
      <c r="G34" s="74">
        <f t="shared" si="14"/>
        <v>4075708.5470825583</v>
      </c>
      <c r="H34" s="74">
        <f t="shared" si="14"/>
        <v>5094268.3376555489</v>
      </c>
      <c r="I34" s="74">
        <f t="shared" si="14"/>
        <v>5864496.4463158138</v>
      </c>
      <c r="J34" s="74"/>
      <c r="K34" s="74"/>
      <c r="L34" s="74"/>
      <c r="M34" s="74"/>
      <c r="N34" s="74"/>
      <c r="O34" s="74"/>
      <c r="P34" s="75"/>
    </row>
    <row r="35" spans="1:16" s="97" customFormat="1" ht="22.5" customHeight="1" x14ac:dyDescent="0.25">
      <c r="A35" s="65" t="s">
        <v>30</v>
      </c>
      <c r="B35" s="46"/>
      <c r="C35" s="66">
        <f>+C34-C26</f>
        <v>1100389.9903999998</v>
      </c>
      <c r="D35" s="67">
        <f>+D34-D26+D33</f>
        <v>122624.47122815975</v>
      </c>
      <c r="E35" s="67">
        <f t="shared" ref="E35:I35" si="15">+E34+E33-E26</f>
        <v>-700080.91895093583</v>
      </c>
      <c r="F35" s="67">
        <f t="shared" si="15"/>
        <v>-1271312.6731176497</v>
      </c>
      <c r="G35" s="67">
        <f t="shared" si="15"/>
        <v>-1255469.7013418446</v>
      </c>
      <c r="H35" s="67">
        <f t="shared" si="15"/>
        <v>-236768.1161714606</v>
      </c>
      <c r="I35" s="67">
        <f t="shared" si="15"/>
        <v>542577.371676079</v>
      </c>
      <c r="J35" s="67"/>
      <c r="K35" s="67"/>
      <c r="L35" s="67"/>
      <c r="M35" s="67"/>
      <c r="N35" s="67"/>
      <c r="O35" s="67"/>
      <c r="P35" s="68"/>
    </row>
    <row r="36" spans="1:16" s="97" customFormat="1" ht="38.25" customHeight="1" x14ac:dyDescent="0.25">
      <c r="A36" s="54" t="s">
        <v>31</v>
      </c>
      <c r="B36" s="69"/>
      <c r="C36" s="72">
        <f t="shared" ref="C36:H36" si="16">+IF(C35&gt;0,C35)*$D$10</f>
        <v>9848.4904140799972</v>
      </c>
      <c r="D36" s="72">
        <f t="shared" si="16"/>
        <v>1097.4890174920297</v>
      </c>
      <c r="E36" s="72">
        <f t="shared" si="16"/>
        <v>0</v>
      </c>
      <c r="F36" s="72">
        <f t="shared" si="16"/>
        <v>0</v>
      </c>
      <c r="G36" s="72">
        <f t="shared" si="16"/>
        <v>0</v>
      </c>
      <c r="H36" s="72">
        <f t="shared" si="16"/>
        <v>0</v>
      </c>
      <c r="I36" s="72">
        <f>+IF(I35&gt;0,I35)*$D$10</f>
        <v>4856.0674765009071</v>
      </c>
      <c r="J36" s="72"/>
      <c r="K36" s="72"/>
      <c r="L36" s="72"/>
      <c r="M36" s="72"/>
      <c r="N36" s="72"/>
      <c r="O36" s="72"/>
      <c r="P36" s="52"/>
    </row>
    <row r="37" spans="1:16" ht="34.5" customHeight="1" x14ac:dyDescent="0.15">
      <c r="A37" s="54" t="s">
        <v>32</v>
      </c>
      <c r="B37" s="46"/>
      <c r="C37" s="51">
        <f t="shared" ref="C37:H37" si="17">+IF(C35&lt;0,C35)*$D$11</f>
        <v>0</v>
      </c>
      <c r="D37" s="51">
        <f t="shared" si="17"/>
        <v>0</v>
      </c>
      <c r="E37" s="51">
        <f t="shared" si="17"/>
        <v>-9182.7280535731079</v>
      </c>
      <c r="F37" s="51">
        <f t="shared" si="17"/>
        <v>-16675.38456239317</v>
      </c>
      <c r="G37" s="51">
        <f t="shared" si="17"/>
        <v>-16467.577582600527</v>
      </c>
      <c r="H37" s="51">
        <f t="shared" si="17"/>
        <v>-3105.608457115658</v>
      </c>
      <c r="I37" s="51">
        <f>+IF(I35&lt;0,I35)*$D$11</f>
        <v>0</v>
      </c>
      <c r="J37" s="51"/>
      <c r="K37" s="51"/>
      <c r="L37" s="51"/>
      <c r="M37" s="51"/>
      <c r="N37" s="51"/>
      <c r="O37" s="51"/>
      <c r="P37" s="52"/>
    </row>
    <row r="38" spans="1:16" ht="34.5" customHeight="1" thickBot="1" x14ac:dyDescent="0.2">
      <c r="A38" s="55" t="s">
        <v>33</v>
      </c>
      <c r="B38" s="56"/>
      <c r="C38" s="76">
        <f>+C36+C37</f>
        <v>9848.4904140799972</v>
      </c>
      <c r="D38" s="77">
        <f t="shared" ref="D38:I38" si="18">+D36+D37+C38</f>
        <v>10945.979431572026</v>
      </c>
      <c r="E38" s="77">
        <f t="shared" si="18"/>
        <v>1763.2513779989185</v>
      </c>
      <c r="F38" s="77">
        <f t="shared" si="18"/>
        <v>-14912.133184394252</v>
      </c>
      <c r="G38" s="77">
        <f t="shared" si="18"/>
        <v>-31379.71076699478</v>
      </c>
      <c r="H38" s="77">
        <f t="shared" si="18"/>
        <v>-34485.319224110441</v>
      </c>
      <c r="I38" s="77">
        <f t="shared" si="18"/>
        <v>-29629.251747609535</v>
      </c>
      <c r="J38" s="77"/>
      <c r="K38" s="77"/>
      <c r="L38" s="77"/>
      <c r="M38" s="77"/>
      <c r="N38" s="77"/>
      <c r="O38" s="77"/>
      <c r="P38" s="78"/>
    </row>
    <row r="39" spans="1:16" ht="5.0999999999999996" customHeight="1" thickBot="1" x14ac:dyDescent="0.2">
      <c r="A39" s="61"/>
      <c r="B39" s="61"/>
      <c r="C39" s="62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79"/>
    </row>
    <row r="40" spans="1:16" ht="34.5" customHeight="1" thickBot="1" x14ac:dyDescent="0.2">
      <c r="A40" s="80" t="s">
        <v>34</v>
      </c>
      <c r="B40" s="81"/>
      <c r="C40" s="82">
        <f t="shared" ref="C40:H40" si="19">+C38/$D$9</f>
        <v>1.8512895999999994E-3</v>
      </c>
      <c r="D40" s="83">
        <f t="shared" si="19"/>
        <v>2.0575922838399988E-3</v>
      </c>
      <c r="E40" s="83">
        <f t="shared" si="19"/>
        <v>3.3145068949940197E-4</v>
      </c>
      <c r="F40" s="83">
        <f t="shared" si="19"/>
        <v>-2.8031379345829265E-3</v>
      </c>
      <c r="G40" s="83">
        <f t="shared" si="19"/>
        <v>-5.8986636277669801E-3</v>
      </c>
      <c r="H40" s="83">
        <f t="shared" si="19"/>
        <v>-6.4824465626734913E-3</v>
      </c>
      <c r="I40" s="83">
        <f>+I38/$D$9</f>
        <v>-5.5696176073554522E-3</v>
      </c>
      <c r="J40" s="83"/>
      <c r="K40" s="83"/>
      <c r="L40" s="83"/>
      <c r="M40" s="83"/>
      <c r="N40" s="83"/>
      <c r="O40" s="83"/>
      <c r="P40" s="84"/>
    </row>
    <row r="41" spans="1:16" ht="5.0999999999999996" customHeight="1" x14ac:dyDescent="0.15">
      <c r="A41" s="85"/>
      <c r="B41" s="85"/>
      <c r="L41" s="2"/>
      <c r="M41" s="2"/>
      <c r="N41" s="2"/>
      <c r="O41" s="2"/>
      <c r="P41" s="86"/>
    </row>
    <row r="42" spans="1:16" ht="15" customHeight="1" thickBot="1" x14ac:dyDescent="0.2">
      <c r="A42" s="87"/>
      <c r="B42" s="88"/>
      <c r="C42" s="30"/>
      <c r="D42" s="30"/>
      <c r="E42" s="30"/>
      <c r="F42" s="89"/>
      <c r="G42" s="89" t="s">
        <v>35</v>
      </c>
      <c r="H42" s="30"/>
      <c r="I42" s="90">
        <f>-I40</f>
        <v>5.5696176073554522E-3</v>
      </c>
      <c r="J42" s="90"/>
      <c r="K42" s="90"/>
      <c r="L42" s="91"/>
      <c r="M42" s="91"/>
      <c r="N42" s="91"/>
      <c r="O42" s="91"/>
      <c r="P42" s="92"/>
    </row>
  </sheetData>
  <mergeCells count="7">
    <mergeCell ref="M6:P6"/>
    <mergeCell ref="M7:P7"/>
    <mergeCell ref="A15:A16"/>
    <mergeCell ref="B15:B16"/>
    <mergeCell ref="B2:H2"/>
    <mergeCell ref="B3:H3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del costo financiero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Ing. Madera</cp:lastModifiedBy>
  <dcterms:created xsi:type="dcterms:W3CDTF">2024-09-16T18:38:05Z</dcterms:created>
  <dcterms:modified xsi:type="dcterms:W3CDTF">2024-10-08T05:55:20Z</dcterms:modified>
</cp:coreProperties>
</file>