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Documentos/Valuación/Ingenieria de Costos/"/>
    </mc:Choice>
  </mc:AlternateContent>
  <xr:revisionPtr revIDLastSave="33" documentId="8_{75FDAA5C-DC92-4D25-A980-47F9F1A1B8CA}" xr6:coauthVersionLast="47" xr6:coauthVersionMax="47" xr10:uidLastSave="{EEF7BBC8-6339-48F8-B9CA-10B6F0166F7F}"/>
  <bookViews>
    <workbookView xWindow="-120" yWindow="-120" windowWidth="19800" windowHeight="11760" xr2:uid="{DA0EA0D5-B0FA-4F90-80F5-0BC331F90221}"/>
  </bookViews>
  <sheets>
    <sheet name="Cálculo del FS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1" l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C9" i="1"/>
  <c r="C10" i="1" s="1"/>
  <c r="L51" i="1"/>
  <c r="C21" i="1"/>
  <c r="C23" i="1" s="1"/>
  <c r="D66" i="1"/>
  <c r="F66" i="1" s="1"/>
  <c r="D82" i="1"/>
  <c r="F82" i="1" s="1"/>
  <c r="D65" i="1"/>
  <c r="F65" i="1" s="1"/>
  <c r="D81" i="1"/>
  <c r="F81" i="1" s="1"/>
  <c r="D80" i="1"/>
  <c r="F80" i="1" s="1"/>
  <c r="D79" i="1"/>
  <c r="F79" i="1" s="1"/>
  <c r="D78" i="1"/>
  <c r="F78" i="1" s="1"/>
  <c r="D77" i="1"/>
  <c r="F77" i="1" s="1"/>
  <c r="D76" i="1"/>
  <c r="F76" i="1" s="1"/>
  <c r="D64" i="1"/>
  <c r="F64" i="1" s="1"/>
  <c r="D63" i="1"/>
  <c r="F63" i="1" s="1"/>
  <c r="D62" i="1"/>
  <c r="F62" i="1" s="1"/>
  <c r="D61" i="1"/>
  <c r="F61" i="1" s="1"/>
  <c r="D75" i="1"/>
  <c r="F75" i="1" s="1"/>
  <c r="D60" i="1"/>
  <c r="F60" i="1" s="1"/>
  <c r="D74" i="1"/>
  <c r="F74" i="1" s="1"/>
  <c r="D59" i="1"/>
  <c r="F59" i="1" s="1"/>
  <c r="D58" i="1"/>
  <c r="F58" i="1" s="1"/>
  <c r="D57" i="1"/>
  <c r="F57" i="1" s="1"/>
  <c r="D56" i="1"/>
  <c r="F56" i="1" s="1"/>
  <c r="D73" i="1"/>
  <c r="F73" i="1" s="1"/>
  <c r="D72" i="1"/>
  <c r="F72" i="1" s="1"/>
  <c r="D71" i="1"/>
  <c r="F71" i="1" s="1"/>
  <c r="D55" i="1"/>
  <c r="F55" i="1" s="1"/>
  <c r="D70" i="1"/>
  <c r="F70" i="1" s="1"/>
  <c r="D54" i="1"/>
  <c r="F54" i="1" s="1"/>
  <c r="D69" i="1"/>
  <c r="F69" i="1" s="1"/>
  <c r="D53" i="1"/>
  <c r="F53" i="1" s="1"/>
  <c r="D52" i="1"/>
  <c r="F52" i="1" s="1"/>
  <c r="D68" i="1"/>
  <c r="F68" i="1" s="1"/>
  <c r="D67" i="1"/>
  <c r="F67" i="1" s="1"/>
  <c r="D51" i="1"/>
  <c r="F51" i="1" s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C34" i="1"/>
  <c r="C35" i="1" s="1"/>
  <c r="C25" i="1" l="1"/>
  <c r="G53" i="1"/>
  <c r="H53" i="1" s="1"/>
  <c r="I69" i="1"/>
  <c r="I81" i="1"/>
  <c r="J79" i="1"/>
  <c r="J70" i="1"/>
  <c r="J64" i="1"/>
  <c r="G75" i="1"/>
  <c r="H75" i="1" s="1"/>
  <c r="G61" i="1"/>
  <c r="H61" i="1" s="1"/>
  <c r="G67" i="1"/>
  <c r="H67" i="1" s="1"/>
  <c r="J57" i="1"/>
  <c r="J74" i="1"/>
  <c r="G62" i="1"/>
  <c r="H62" i="1" s="1"/>
  <c r="G58" i="1"/>
  <c r="H58" i="1" s="1"/>
  <c r="I58" i="1"/>
  <c r="I72" i="1"/>
  <c r="G72" i="1"/>
  <c r="H72" i="1" s="1"/>
  <c r="J53" i="1"/>
  <c r="J78" i="1"/>
  <c r="G78" i="1"/>
  <c r="H78" i="1" s="1"/>
  <c r="J62" i="1"/>
  <c r="J60" i="1"/>
  <c r="G60" i="1"/>
  <c r="H60" i="1" s="1"/>
  <c r="J59" i="1"/>
  <c r="G59" i="1"/>
  <c r="H59" i="1" s="1"/>
  <c r="J54" i="1"/>
  <c r="I54" i="1"/>
  <c r="G54" i="1"/>
  <c r="H54" i="1" s="1"/>
  <c r="J63" i="1"/>
  <c r="G63" i="1"/>
  <c r="H63" i="1" s="1"/>
  <c r="J51" i="1"/>
  <c r="I51" i="1"/>
  <c r="G51" i="1"/>
  <c r="H51" i="1" s="1"/>
  <c r="J73" i="1"/>
  <c r="G73" i="1"/>
  <c r="H73" i="1" s="1"/>
  <c r="G56" i="1"/>
  <c r="H56" i="1" s="1"/>
  <c r="J56" i="1"/>
  <c r="J80" i="1"/>
  <c r="G80" i="1"/>
  <c r="H80" i="1" s="1"/>
  <c r="J68" i="1"/>
  <c r="I68" i="1"/>
  <c r="G68" i="1"/>
  <c r="H68" i="1" s="1"/>
  <c r="G55" i="1"/>
  <c r="H55" i="1" s="1"/>
  <c r="J55" i="1"/>
  <c r="I55" i="1"/>
  <c r="G81" i="1"/>
  <c r="H81" i="1" s="1"/>
  <c r="J81" i="1"/>
  <c r="I52" i="1"/>
  <c r="J52" i="1"/>
  <c r="G52" i="1"/>
  <c r="H52" i="1" s="1"/>
  <c r="J65" i="1"/>
  <c r="G65" i="1"/>
  <c r="H65" i="1" s="1"/>
  <c r="J71" i="1"/>
  <c r="I71" i="1"/>
  <c r="G71" i="1"/>
  <c r="H71" i="1" s="1"/>
  <c r="J76" i="1"/>
  <c r="G76" i="1"/>
  <c r="H76" i="1" s="1"/>
  <c r="I76" i="1"/>
  <c r="J82" i="1"/>
  <c r="I82" i="1"/>
  <c r="G82" i="1"/>
  <c r="H82" i="1" s="1"/>
  <c r="J77" i="1"/>
  <c r="G77" i="1"/>
  <c r="H77" i="1" s="1"/>
  <c r="J66" i="1"/>
  <c r="G66" i="1"/>
  <c r="H66" i="1" s="1"/>
  <c r="I67" i="1"/>
  <c r="J67" i="1"/>
  <c r="I75" i="1"/>
  <c r="G69" i="1"/>
  <c r="H69" i="1" s="1"/>
  <c r="G74" i="1"/>
  <c r="H74" i="1" s="1"/>
  <c r="I62" i="1"/>
  <c r="I78" i="1"/>
  <c r="I74" i="1"/>
  <c r="J69" i="1"/>
  <c r="G70" i="1"/>
  <c r="H70" i="1" s="1"/>
  <c r="I73" i="1"/>
  <c r="G57" i="1"/>
  <c r="H57" i="1" s="1"/>
  <c r="G64" i="1"/>
  <c r="H64" i="1" s="1"/>
  <c r="I80" i="1"/>
  <c r="I60" i="1"/>
  <c r="J72" i="1"/>
  <c r="I70" i="1"/>
  <c r="I57" i="1"/>
  <c r="I64" i="1"/>
  <c r="J75" i="1"/>
  <c r="I65" i="1"/>
  <c r="I61" i="1"/>
  <c r="I59" i="1"/>
  <c r="J61" i="1"/>
  <c r="I77" i="1"/>
  <c r="G79" i="1"/>
  <c r="H79" i="1" s="1"/>
  <c r="I66" i="1"/>
  <c r="I53" i="1"/>
  <c r="J58" i="1"/>
  <c r="I79" i="1"/>
  <c r="I63" i="1"/>
  <c r="I56" i="1"/>
  <c r="K51" i="1" l="1"/>
  <c r="K62" i="1"/>
  <c r="M62" i="1" s="1"/>
  <c r="N62" i="1" s="1"/>
  <c r="K67" i="1"/>
  <c r="M67" i="1" s="1"/>
  <c r="N67" i="1" s="1"/>
  <c r="K58" i="1"/>
  <c r="M58" i="1" s="1"/>
  <c r="N58" i="1" s="1"/>
  <c r="K53" i="1"/>
  <c r="M53" i="1" s="1"/>
  <c r="N53" i="1" s="1"/>
  <c r="K81" i="1"/>
  <c r="M81" i="1" s="1"/>
  <c r="N81" i="1" s="1"/>
  <c r="K60" i="1"/>
  <c r="M60" i="1" s="1"/>
  <c r="N60" i="1" s="1"/>
  <c r="K63" i="1"/>
  <c r="M63" i="1" s="1"/>
  <c r="N63" i="1" s="1"/>
  <c r="K71" i="1"/>
  <c r="M71" i="1" s="1"/>
  <c r="N71" i="1" s="1"/>
  <c r="K54" i="1"/>
  <c r="M54" i="1" s="1"/>
  <c r="N54" i="1" s="1"/>
  <c r="K72" i="1"/>
  <c r="M72" i="1" s="1"/>
  <c r="N72" i="1" s="1"/>
  <c r="K66" i="1"/>
  <c r="M66" i="1" s="1"/>
  <c r="N66" i="1" s="1"/>
  <c r="K75" i="1"/>
  <c r="M75" i="1" s="1"/>
  <c r="N75" i="1" s="1"/>
  <c r="K55" i="1"/>
  <c r="M55" i="1" s="1"/>
  <c r="N55" i="1" s="1"/>
  <c r="K61" i="1"/>
  <c r="M61" i="1" s="1"/>
  <c r="N61" i="1" s="1"/>
  <c r="K78" i="1"/>
  <c r="M78" i="1" s="1"/>
  <c r="N78" i="1" s="1"/>
  <c r="K76" i="1"/>
  <c r="M76" i="1" s="1"/>
  <c r="N76" i="1" s="1"/>
  <c r="K80" i="1"/>
  <c r="M80" i="1" s="1"/>
  <c r="N80" i="1" s="1"/>
  <c r="K52" i="1"/>
  <c r="M52" i="1" s="1"/>
  <c r="N52" i="1" s="1"/>
  <c r="K56" i="1"/>
  <c r="M56" i="1" s="1"/>
  <c r="N56" i="1" s="1"/>
  <c r="K57" i="1"/>
  <c r="M57" i="1" s="1"/>
  <c r="N57" i="1" s="1"/>
  <c r="K70" i="1"/>
  <c r="M70" i="1" s="1"/>
  <c r="N70" i="1" s="1"/>
  <c r="K73" i="1"/>
  <c r="M73" i="1" s="1"/>
  <c r="N73" i="1" s="1"/>
  <c r="K64" i="1"/>
  <c r="M64" i="1" s="1"/>
  <c r="N64" i="1" s="1"/>
  <c r="K77" i="1"/>
  <c r="M77" i="1" s="1"/>
  <c r="N77" i="1" s="1"/>
  <c r="K59" i="1"/>
  <c r="M59" i="1" s="1"/>
  <c r="N59" i="1" s="1"/>
  <c r="K82" i="1"/>
  <c r="M82" i="1" s="1"/>
  <c r="N82" i="1" s="1"/>
  <c r="K79" i="1"/>
  <c r="M79" i="1" s="1"/>
  <c r="N79" i="1" s="1"/>
  <c r="K74" i="1"/>
  <c r="M74" i="1" s="1"/>
  <c r="N74" i="1" s="1"/>
  <c r="K65" i="1"/>
  <c r="M65" i="1" s="1"/>
  <c r="N65" i="1" s="1"/>
  <c r="K69" i="1"/>
  <c r="M69" i="1" s="1"/>
  <c r="N69" i="1" s="1"/>
  <c r="K68" i="1"/>
  <c r="M68" i="1" s="1"/>
  <c r="N68" i="1" s="1"/>
  <c r="M51" i="1" l="1"/>
  <c r="N51" i="1" s="1"/>
</calcChain>
</file>

<file path=xl/sharedStrings.xml><?xml version="1.0" encoding="utf-8"?>
<sst xmlns="http://schemas.openxmlformats.org/spreadsheetml/2006/main" count="123" uniqueCount="103">
  <si>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</si>
  <si>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</si>
  <si>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</si>
  <si>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</si>
  <si>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</si>
  <si>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</si>
  <si>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</si>
  <si>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</si>
  <si>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</si>
  <si>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</si>
  <si>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</si>
  <si>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</si>
  <si>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</si>
  <si>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</si>
  <si>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</si>
  <si>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</si>
  <si>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</si>
  <si>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</si>
  <si>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</si>
  <si>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</si>
  <si>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</si>
  <si>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</si>
  <si>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</si>
  <si>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</si>
  <si>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</si>
  <si>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</si>
  <si>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</si>
  <si>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</si>
  <si>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</si>
  <si>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</si>
  <si>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</si>
  <si>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</si>
  <si>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</si>
  <si>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</si>
  <si>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</si>
  <si>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</si>
  <si>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</si>
  <si>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</si>
  <si>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</si>
  <si>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</si>
  <si>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</si>
  <si>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</si>
  <si>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</si>
  <si>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</si>
  <si>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</si>
  <si>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</si>
  <si>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</si>
  <si>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</si>
  <si>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</si>
  <si>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</si>
  <si>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</si>
  <si>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</si>
  <si>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</si>
  <si>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</si>
  <si>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</si>
  <si>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</si>
  <si>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</si>
  <si>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</si>
  <si>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</si>
  <si>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</si>
  <si>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</si>
  <si>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</si>
  <si>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</si>
  <si>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</si>
  <si>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</si>
  <si>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</si>
  <si>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</si>
  <si>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</si>
  <si>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</si>
  <si>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</si>
  <si>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</si>
  <si>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</si>
  <si>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</si>
  <si>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</si>
  <si>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</si>
  <si>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</si>
  <si>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</si>
  <si>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</si>
  <si>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</si>
  <si>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</si>
  <si>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</si>
  <si>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</si>
  <si>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</si>
  <si>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</si>
  <si>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</si>
  <si>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</si>
  <si>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</si>
  <si>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</si>
  <si>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</si>
  <si>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</si>
  <si>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</si>
  <si>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</si>
  <si>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</si>
  <si>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</si>
  <si>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</si>
  <si>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</si>
  <si>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</si>
  <si>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</si>
  <si>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</si>
  <si>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</si>
  <si>
    <t>EJERCICIO NO. 1 - CÁLCULO DEL FSR</t>
  </si>
  <si>
    <t>MAESTRIA EN VALUACIÓN - INGENIERIA DE COSTOS</t>
  </si>
  <si>
    <t>ING. CÉSAR HUMBERTO MADERA ROBLES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</si>
</sst>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2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166" fontId="8" fillId="0" borderId="2" xfId="0" applyNumberFormat="1" applyFont="1" applyBorder="1" applyAlignment="1" applyProtection="1">
      <alignment horizontal="center" vertical="top"/>
      <protection locked="0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top"/>
      <protection locked="0"/>
    </xf>
    <xf numFmtId="0" fontId="7" fillId="3" borderId="21" xfId="0" applyFont="1" applyFill="1" applyBorder="1" applyAlignment="1" applyProtection="1">
      <alignment horizontal="center" vertical="top"/>
      <protection locked="0"/>
    </xf>
    <xf numFmtId="0" fontId="7" fillId="3" borderId="22" xfId="0" applyFont="1" applyFill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vertical="top" wrapText="1"/>
      <protection locked="0"/>
    </xf>
    <xf numFmtId="166" fontId="8" fillId="3" borderId="23" xfId="0" applyNumberFormat="1" applyFont="1" applyFill="1" applyBorder="1" applyAlignment="1" applyProtection="1">
      <alignment horizontal="center" vertical="top"/>
      <protection locked="0"/>
    </xf>
    <xf numFmtId="4" fontId="7" fillId="0" borderId="23" xfId="0" applyNumberFormat="1" applyFont="1" applyBorder="1" applyAlignment="1">
      <alignment horizontal="center" vertical="top"/>
    </xf>
    <xf numFmtId="2" fontId="7" fillId="4" borderId="23" xfId="0" applyNumberFormat="1" applyFont="1" applyFill="1" applyBorder="1" applyAlignment="1" applyProtection="1">
      <alignment horizontal="center" vertical="top"/>
      <protection locked="0"/>
    </xf>
    <xf numFmtId="167" fontId="7" fillId="0" borderId="23" xfId="0" applyNumberFormat="1" applyFont="1" applyBorder="1" applyAlignment="1">
      <alignment horizontal="center" vertical="top"/>
    </xf>
    <xf numFmtId="168" fontId="7" fillId="0" borderId="23" xfId="0" applyNumberFormat="1" applyFont="1" applyBorder="1" applyAlignment="1">
      <alignment horizontal="center" vertical="top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8" fillId="0" borderId="25" xfId="0" applyNumberFormat="1" applyFont="1" applyBorder="1" applyAlignment="1" applyProtection="1">
      <alignment horizontal="center" vertical="top"/>
      <protection locked="0"/>
    </xf>
    <xf numFmtId="4" fontId="6" fillId="2" borderId="24" xfId="0" applyNumberFormat="1" applyFont="1" applyFill="1" applyBorder="1" applyAlignment="1">
      <alignment horizontal="center" vertical="center" wrapText="1"/>
    </xf>
    <xf numFmtId="166" fontId="8" fillId="0" borderId="26" xfId="0" applyNumberFormat="1" applyFont="1" applyBorder="1" applyAlignment="1" applyProtection="1">
      <alignment horizontal="center" vertical="top"/>
      <protection locked="0"/>
    </xf>
    <xf numFmtId="167" fontId="7" fillId="0" borderId="26" xfId="0" applyNumberFormat="1" applyFont="1" applyBorder="1" applyAlignment="1">
      <alignment horizontal="center" vertical="top"/>
    </xf>
    <xf numFmtId="167" fontId="7" fillId="0" borderId="2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38</xdr:row>
      <xdr:rowOff>16018</xdr:rowOff>
    </xdr:from>
    <xdr:to>
      <xdr:col>11</xdr:col>
      <xdr:colOff>640081</xdr:colOff>
      <xdr:row>46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9DFD-14EB-4E51-9536-9170333D381A}">
  <sheetPr>
    <pageSetUpPr fitToPage="1"/>
  </sheetPr>
  <dimension ref="A1:N82"/>
  <sheetViews>
    <sheetView tabSelected="1" zoomScale="85" zoomScaleNormal="85" workbookViewId="0">
      <selection activeCell="H9" sqref="H9"/>
    </sheetView>
  </sheetViews>
  <sheetFormatPr baseColWidth="10" defaultColWidth="11.5703125" defaultRowHeight="12.75" x14ac:dyDescent="0.2"/>
  <cols>
    <col min="1" max="1" width="11.5703125" style="2"/>
    <col min="2" max="2" width="43.28515625" style="2" customWidth="1"/>
    <col min="3" max="3" width="11.5703125" style="3"/>
    <col min="4" max="16384" width="11.5703125" style="2"/>
  </cols>
  <sheetData>
    <row r="1" spans="1:8" x14ac:dyDescent="0.2">
      <c r="B1" s="94" t="s">
        <v>100</v>
      </c>
      <c r="C1" s="94"/>
      <c r="D1" s="94"/>
      <c r="E1" s="94"/>
      <c r="F1" s="94"/>
      <c r="G1" s="94"/>
      <c r="H1" s="94"/>
    </row>
    <row r="2" spans="1:8" x14ac:dyDescent="0.2">
      <c r="B2" s="94" t="s">
        <v>101</v>
      </c>
      <c r="C2" s="94"/>
      <c r="D2" s="94"/>
      <c r="E2" s="94"/>
      <c r="F2" s="94"/>
      <c r="G2" s="94"/>
      <c r="H2" s="94"/>
    </row>
    <row r="3" spans="1:8" x14ac:dyDescent="0.2">
      <c r="B3" s="94" t="s">
        <v>102</v>
      </c>
      <c r="C3" s="94"/>
      <c r="D3" s="94"/>
      <c r="E3" s="94"/>
      <c r="F3" s="94"/>
      <c r="G3" s="94"/>
      <c r="H3" s="94"/>
    </row>
    <row r="4" spans="1:8" x14ac:dyDescent="0.2">
      <c r="B4" s="93"/>
      <c r="C4" s="93"/>
      <c r="D4" s="93"/>
      <c r="E4" s="93"/>
      <c r="F4" s="93"/>
      <c r="G4" s="93"/>
      <c r="H4" s="93"/>
    </row>
    <row r="5" spans="1:8" x14ac:dyDescent="0.2">
      <c r="A5" s="8" t="s">
        <v>0</v>
      </c>
    </row>
    <row r="6" spans="1:8" x14ac:dyDescent="0.2">
      <c r="B6" s="8" t="s">
        <v>1</v>
      </c>
    </row>
    <row r="7" spans="1:8" x14ac:dyDescent="0.2">
      <c r="B7" s="4" t="s">
        <v>16</v>
      </c>
      <c r="C7" s="76">
        <v>365</v>
      </c>
      <c r="D7" s="2" t="s">
        <v>2</v>
      </c>
    </row>
    <row r="8" spans="1:8" x14ac:dyDescent="0.2">
      <c r="B8" s="4" t="s">
        <v>9</v>
      </c>
      <c r="C8" s="76">
        <v>15</v>
      </c>
      <c r="D8" s="2" t="s">
        <v>2</v>
      </c>
    </row>
    <row r="9" spans="1:8" x14ac:dyDescent="0.2">
      <c r="B9" s="4" t="s">
        <v>10</v>
      </c>
      <c r="C9" s="76">
        <f>12*0.25</f>
        <v>3</v>
      </c>
      <c r="D9" s="2" t="s">
        <v>2</v>
      </c>
    </row>
    <row r="10" spans="1:8" x14ac:dyDescent="0.2">
      <c r="B10" s="9" t="s">
        <v>19</v>
      </c>
      <c r="C10" s="77">
        <f>+SUM(C7:C9)</f>
        <v>383</v>
      </c>
      <c r="D10" s="9" t="s">
        <v>2</v>
      </c>
    </row>
    <row r="12" spans="1:8" x14ac:dyDescent="0.2">
      <c r="B12" s="2" t="s">
        <v>15</v>
      </c>
    </row>
    <row r="13" spans="1:8" x14ac:dyDescent="0.2">
      <c r="B13" s="4" t="s">
        <v>94</v>
      </c>
      <c r="C13" s="76">
        <v>52</v>
      </c>
      <c r="D13" s="2" t="s">
        <v>2</v>
      </c>
    </row>
    <row r="14" spans="1:8" x14ac:dyDescent="0.2">
      <c r="B14" s="4" t="s">
        <v>95</v>
      </c>
      <c r="C14" s="76">
        <v>12</v>
      </c>
      <c r="D14" s="2" t="s">
        <v>2</v>
      </c>
    </row>
    <row r="15" spans="1:8" x14ac:dyDescent="0.2">
      <c r="B15" s="4" t="s">
        <v>96</v>
      </c>
      <c r="C15" s="76">
        <v>8</v>
      </c>
      <c r="D15" s="2" t="s">
        <v>2</v>
      </c>
    </row>
    <row r="16" spans="1:8" x14ac:dyDescent="0.2">
      <c r="B16" s="1" t="s">
        <v>11</v>
      </c>
      <c r="C16" s="76">
        <v>0</v>
      </c>
      <c r="D16" s="2" t="s">
        <v>2</v>
      </c>
    </row>
    <row r="17" spans="1:12" x14ac:dyDescent="0.2">
      <c r="B17" s="1" t="s">
        <v>12</v>
      </c>
      <c r="C17" s="76">
        <v>0</v>
      </c>
      <c r="D17" s="2" t="s">
        <v>2</v>
      </c>
      <c r="F17" s="2" t="s">
        <v>3</v>
      </c>
    </row>
    <row r="18" spans="1:12" x14ac:dyDescent="0.2">
      <c r="B18" s="5" t="s">
        <v>97</v>
      </c>
      <c r="C18" s="76">
        <v>0</v>
      </c>
      <c r="D18" s="2" t="s">
        <v>2</v>
      </c>
      <c r="F18" s="2">
        <v>1</v>
      </c>
      <c r="G18" s="2" t="s">
        <v>8</v>
      </c>
    </row>
    <row r="19" spans="1:12" x14ac:dyDescent="0.2">
      <c r="B19" s="1" t="s">
        <v>13</v>
      </c>
      <c r="C19" s="76">
        <v>9</v>
      </c>
      <c r="D19" s="2" t="s">
        <v>2</v>
      </c>
      <c r="F19" s="2">
        <v>2</v>
      </c>
      <c r="G19" s="6" t="s">
        <v>4</v>
      </c>
    </row>
    <row r="20" spans="1:12" x14ac:dyDescent="0.2">
      <c r="B20" s="1" t="s">
        <v>14</v>
      </c>
      <c r="C20" s="76">
        <v>6</v>
      </c>
      <c r="D20" s="2" t="s">
        <v>2</v>
      </c>
      <c r="F20" s="2">
        <v>3</v>
      </c>
      <c r="G20" s="7" t="s">
        <v>5</v>
      </c>
    </row>
    <row r="21" spans="1:12" x14ac:dyDescent="0.2">
      <c r="B21" s="9" t="s">
        <v>17</v>
      </c>
      <c r="C21" s="77">
        <f>+SUM(C13:C20)</f>
        <v>87</v>
      </c>
      <c r="D21" s="9" t="s">
        <v>2</v>
      </c>
      <c r="F21" s="2">
        <v>4</v>
      </c>
      <c r="G21" s="7" t="s">
        <v>6</v>
      </c>
    </row>
    <row r="22" spans="1:12" x14ac:dyDescent="0.2">
      <c r="F22" s="2">
        <v>5</v>
      </c>
      <c r="G22" s="2" t="s">
        <v>99</v>
      </c>
    </row>
    <row r="23" spans="1:12" x14ac:dyDescent="0.2">
      <c r="B23" s="2" t="s">
        <v>18</v>
      </c>
      <c r="C23" s="76">
        <f>365-C21</f>
        <v>278</v>
      </c>
      <c r="D23" s="2" t="s">
        <v>2</v>
      </c>
      <c r="F23" s="2">
        <v>6</v>
      </c>
      <c r="G23" s="7" t="s">
        <v>7</v>
      </c>
    </row>
    <row r="25" spans="1:12" x14ac:dyDescent="0.2">
      <c r="B25" s="9" t="s">
        <v>20</v>
      </c>
      <c r="C25" s="80">
        <f>+C10/C23</f>
        <v>1.3776978417266188</v>
      </c>
      <c r="D25" s="2" t="s">
        <v>98</v>
      </c>
    </row>
    <row r="27" spans="1:12" ht="13.5" thickBot="1" x14ac:dyDescent="0.25"/>
    <row r="28" spans="1:12" ht="13.9" customHeight="1" thickBot="1" x14ac:dyDescent="0.25">
      <c r="F28" s="82" t="s">
        <v>64</v>
      </c>
      <c r="G28" s="83"/>
      <c r="H28" s="83"/>
      <c r="I28" s="83"/>
      <c r="J28" s="83"/>
      <c r="K28" s="83"/>
      <c r="L28" s="84"/>
    </row>
    <row r="29" spans="1:12" ht="23.25" thickBot="1" x14ac:dyDescent="0.3">
      <c r="A29" s="85" t="s">
        <v>65</v>
      </c>
      <c r="B29" s="86"/>
      <c r="C29" s="87"/>
      <c r="E29" s="19"/>
      <c r="F29" s="57" t="s">
        <v>66</v>
      </c>
      <c r="G29" s="58"/>
      <c r="H29" s="20"/>
      <c r="I29" s="21" t="s">
        <v>67</v>
      </c>
      <c r="J29" s="22"/>
      <c r="K29" s="21" t="s">
        <v>68</v>
      </c>
      <c r="L29" s="23" t="s">
        <v>69</v>
      </c>
    </row>
    <row r="30" spans="1:12" x14ac:dyDescent="0.2">
      <c r="A30" s="24"/>
      <c r="B30" s="19"/>
      <c r="C30" s="25"/>
      <c r="E30" s="19"/>
      <c r="F30" s="26" t="s">
        <v>70</v>
      </c>
      <c r="G30" s="27"/>
      <c r="H30" s="27"/>
      <c r="I30" s="28"/>
      <c r="J30" s="28"/>
      <c r="K30" s="28"/>
      <c r="L30" s="29"/>
    </row>
    <row r="31" spans="1:12" x14ac:dyDescent="0.2">
      <c r="A31" s="30" t="s">
        <v>71</v>
      </c>
      <c r="B31" s="19"/>
      <c r="C31" s="78">
        <v>108.57</v>
      </c>
      <c r="E31" s="31"/>
      <c r="F31" s="32" t="s">
        <v>72</v>
      </c>
      <c r="G31" s="27"/>
      <c r="H31" s="27"/>
      <c r="I31" s="33">
        <v>0.20399999999999999</v>
      </c>
      <c r="J31" s="33"/>
      <c r="K31" s="28" t="s">
        <v>73</v>
      </c>
      <c r="L31" s="29">
        <v>1</v>
      </c>
    </row>
    <row r="32" spans="1:12" x14ac:dyDescent="0.2">
      <c r="A32" s="30" t="s">
        <v>74</v>
      </c>
      <c r="B32" s="19"/>
      <c r="C32" s="79">
        <v>248.93</v>
      </c>
      <c r="E32" s="31"/>
      <c r="F32" s="32" t="s">
        <v>75</v>
      </c>
      <c r="G32" s="27"/>
      <c r="H32" s="27"/>
      <c r="I32" s="33">
        <v>1.0999999999999999E-2</v>
      </c>
      <c r="J32" s="33"/>
      <c r="K32" s="28" t="s">
        <v>76</v>
      </c>
      <c r="L32" s="29">
        <v>3</v>
      </c>
    </row>
    <row r="33" spans="1:12" x14ac:dyDescent="0.2">
      <c r="A33" s="30" t="s">
        <v>80</v>
      </c>
      <c r="B33" s="19"/>
      <c r="C33" s="25"/>
      <c r="E33" s="19"/>
      <c r="F33" s="32" t="s">
        <v>77</v>
      </c>
      <c r="G33" s="27"/>
      <c r="H33" s="27"/>
      <c r="I33" s="33">
        <v>7.0000000000000001E-3</v>
      </c>
      <c r="J33" s="33"/>
      <c r="K33" s="28" t="s">
        <v>78</v>
      </c>
      <c r="L33" s="29">
        <v>2</v>
      </c>
    </row>
    <row r="34" spans="1:12" x14ac:dyDescent="0.2">
      <c r="A34" s="24"/>
      <c r="B34" s="34" t="s">
        <v>82</v>
      </c>
      <c r="C34" s="35">
        <f>ROUND(C31/C32,6)</f>
        <v>0.43614700000000001</v>
      </c>
      <c r="E34" s="19"/>
      <c r="F34" s="32" t="s">
        <v>79</v>
      </c>
      <c r="G34" s="27"/>
      <c r="H34" s="27"/>
      <c r="I34" s="33">
        <v>1.0500000000000001E-2</v>
      </c>
      <c r="J34" s="33"/>
      <c r="K34" s="28" t="s">
        <v>78</v>
      </c>
      <c r="L34" s="29">
        <v>2</v>
      </c>
    </row>
    <row r="35" spans="1:12" x14ac:dyDescent="0.2">
      <c r="A35" s="24"/>
      <c r="B35" s="34" t="s">
        <v>83</v>
      </c>
      <c r="C35" s="35">
        <f>ROUND(C34*3,6)</f>
        <v>1.308441</v>
      </c>
      <c r="E35" s="19"/>
      <c r="F35" s="32" t="s">
        <v>81</v>
      </c>
      <c r="G35" s="27"/>
      <c r="H35" s="27"/>
      <c r="I35" s="33">
        <v>1.7500000000000002E-2</v>
      </c>
      <c r="J35" s="33"/>
      <c r="K35" s="28" t="s">
        <v>78</v>
      </c>
      <c r="L35" s="29">
        <v>2</v>
      </c>
    </row>
    <row r="36" spans="1:12" ht="13.5" thickBot="1" x14ac:dyDescent="0.25">
      <c r="A36" s="39"/>
      <c r="B36" s="40"/>
      <c r="C36" s="41"/>
      <c r="E36" s="19"/>
      <c r="F36" s="32" t="s">
        <v>84</v>
      </c>
      <c r="G36" s="27"/>
      <c r="H36" s="27"/>
      <c r="I36" s="33">
        <v>0.01</v>
      </c>
      <c r="J36" s="33"/>
      <c r="K36" s="28" t="s">
        <v>78</v>
      </c>
      <c r="L36" s="29">
        <v>2</v>
      </c>
    </row>
    <row r="37" spans="1:12" x14ac:dyDescent="0.2">
      <c r="A37" s="38"/>
      <c r="B37" s="36"/>
      <c r="C37" s="2"/>
      <c r="E37" s="19"/>
      <c r="F37" s="32" t="s">
        <v>85</v>
      </c>
      <c r="G37" s="27"/>
      <c r="H37" s="27"/>
      <c r="I37" s="33">
        <v>0.02</v>
      </c>
      <c r="J37" s="33"/>
      <c r="K37" s="28" t="s">
        <v>78</v>
      </c>
      <c r="L37" s="29">
        <v>2</v>
      </c>
    </row>
    <row r="38" spans="1:12" x14ac:dyDescent="0.2">
      <c r="E38" s="19"/>
      <c r="F38" s="59" t="s">
        <v>86</v>
      </c>
      <c r="G38" s="42" t="s">
        <v>87</v>
      </c>
      <c r="H38" s="42" t="s">
        <v>88</v>
      </c>
      <c r="I38" s="42">
        <v>2024</v>
      </c>
      <c r="J38" s="33"/>
      <c r="K38" s="60" t="s">
        <v>78</v>
      </c>
      <c r="L38" s="61">
        <v>2</v>
      </c>
    </row>
    <row r="39" spans="1:12" ht="13.9" customHeight="1" x14ac:dyDescent="0.25">
      <c r="A39" s="43"/>
      <c r="B39" s="36"/>
      <c r="C39" s="36"/>
      <c r="D39" s="44"/>
      <c r="E39" s="19"/>
      <c r="F39" s="55"/>
      <c r="G39" s="45">
        <f>+C32/C32</f>
        <v>1</v>
      </c>
      <c r="H39" s="45">
        <f>+C32/C32</f>
        <v>1</v>
      </c>
      <c r="I39" s="46">
        <v>3.15E-2</v>
      </c>
      <c r="J39" s="33"/>
      <c r="K39"/>
      <c r="L39" s="56"/>
    </row>
    <row r="40" spans="1:12" ht="13.9" customHeight="1" x14ac:dyDescent="0.25">
      <c r="A40" s="43"/>
      <c r="B40" s="36"/>
      <c r="C40" s="36"/>
      <c r="D40" s="19"/>
      <c r="E40" s="19"/>
      <c r="F40" s="55"/>
      <c r="G40" s="45">
        <f>+C32*1.01/C32</f>
        <v>1.01</v>
      </c>
      <c r="H40" s="45">
        <f>+$C$31*1.5/$C$32</f>
        <v>0.65422006186478121</v>
      </c>
      <c r="I40" s="46">
        <v>3.4130000000000001E-2</v>
      </c>
      <c r="J40" s="33"/>
      <c r="K40"/>
      <c r="L40" s="56"/>
    </row>
    <row r="41" spans="1:12" ht="13.9" customHeight="1" x14ac:dyDescent="0.25">
      <c r="A41" s="43"/>
      <c r="B41" s="36"/>
      <c r="C41" s="36"/>
      <c r="D41" s="19"/>
      <c r="E41" s="19"/>
      <c r="F41" s="55"/>
      <c r="G41" s="45">
        <f>+$C$31*1.51/$C$32</f>
        <v>0.65858152894387978</v>
      </c>
      <c r="H41" s="45">
        <f>+$C$31*2/$C$32</f>
        <v>0.87229341581970832</v>
      </c>
      <c r="I41" s="46">
        <v>0.04</v>
      </c>
      <c r="J41" s="33"/>
      <c r="K41"/>
      <c r="L41" s="56"/>
    </row>
    <row r="42" spans="1:12" ht="13.9" customHeight="1" x14ac:dyDescent="0.25">
      <c r="A42" s="43"/>
      <c r="B42" s="36"/>
      <c r="C42" s="36"/>
      <c r="D42" s="19"/>
      <c r="E42" s="19"/>
      <c r="F42" s="55"/>
      <c r="G42" s="45">
        <f>+$C$31*2.01/$C$32</f>
        <v>0.87665488289880666</v>
      </c>
      <c r="H42" s="45">
        <f>+$C$31*2.5/$C$32</f>
        <v>1.0903667697746353</v>
      </c>
      <c r="I42" s="46">
        <v>4.3529999999999999E-2</v>
      </c>
      <c r="J42" s="33"/>
      <c r="K42"/>
      <c r="L42" s="56"/>
    </row>
    <row r="43" spans="1:12" ht="13.9" customHeight="1" x14ac:dyDescent="0.25">
      <c r="A43" s="43"/>
      <c r="B43" s="36"/>
      <c r="C43" s="36"/>
      <c r="D43" s="19"/>
      <c r="E43" s="19"/>
      <c r="F43" s="55"/>
      <c r="G43" s="45">
        <f>+$C$31*2.51/$C$32</f>
        <v>1.0947282368537339</v>
      </c>
      <c r="H43" s="45">
        <f>+$C$31*3/$C$32</f>
        <v>1.3084401237295624</v>
      </c>
      <c r="I43" s="46">
        <v>4.5879999999999997E-2</v>
      </c>
      <c r="J43" s="33"/>
      <c r="K43"/>
      <c r="L43" s="56"/>
    </row>
    <row r="44" spans="1:12" ht="13.9" customHeight="1" x14ac:dyDescent="0.25">
      <c r="A44" s="43"/>
      <c r="B44" s="36"/>
      <c r="C44" s="36"/>
      <c r="D44" s="19"/>
      <c r="E44" s="19"/>
      <c r="F44" s="55"/>
      <c r="G44" s="45">
        <f>+$C$31*3.01/$C$32</f>
        <v>1.3128015908086608</v>
      </c>
      <c r="H44" s="45">
        <f>+$C$31*3.5/$C$32</f>
        <v>1.5265134776844895</v>
      </c>
      <c r="I44" s="46">
        <v>4.7559999999999998E-2</v>
      </c>
      <c r="J44" s="33"/>
      <c r="K44"/>
      <c r="L44" s="56"/>
    </row>
    <row r="45" spans="1:12" ht="13.9" customHeight="1" x14ac:dyDescent="0.25">
      <c r="A45" s="43"/>
      <c r="B45" s="36"/>
      <c r="C45" s="36"/>
      <c r="D45" s="19"/>
      <c r="E45" s="19"/>
      <c r="F45" s="55"/>
      <c r="G45" s="45">
        <f>+$C$31*3.51/$C$32</f>
        <v>1.5308749447635881</v>
      </c>
      <c r="H45" s="45">
        <f>+$C$31*4/$C$32</f>
        <v>1.7445868316394166</v>
      </c>
      <c r="I45" s="46">
        <v>4.8820000000000002E-2</v>
      </c>
      <c r="J45" s="33"/>
      <c r="K45"/>
      <c r="L45" s="56"/>
    </row>
    <row r="46" spans="1:12" ht="13.9" customHeight="1" x14ac:dyDescent="0.25">
      <c r="A46" s="43"/>
      <c r="B46" s="36"/>
      <c r="C46" s="36"/>
      <c r="D46" s="19"/>
      <c r="E46" s="19"/>
      <c r="F46" s="55"/>
      <c r="G46" s="45">
        <f>+$C$31*4.01/$C$32</f>
        <v>1.748948298718515</v>
      </c>
      <c r="H46" s="45">
        <f>+$C$31*20/$C$32</f>
        <v>8.7229341581970825</v>
      </c>
      <c r="I46" s="46">
        <v>5.3310000000000003E-2</v>
      </c>
      <c r="J46" s="33"/>
      <c r="K46"/>
      <c r="L46" s="56"/>
    </row>
    <row r="47" spans="1:12" x14ac:dyDescent="0.2">
      <c r="A47" s="48"/>
      <c r="B47" s="36"/>
      <c r="C47" s="36"/>
      <c r="D47" s="37"/>
      <c r="E47" s="19"/>
      <c r="F47" s="32" t="s">
        <v>89</v>
      </c>
      <c r="G47" s="27"/>
      <c r="H47" s="27"/>
      <c r="I47" s="81">
        <v>7.5887499999999997E-2</v>
      </c>
      <c r="J47" s="49"/>
      <c r="K47" s="28" t="s">
        <v>78</v>
      </c>
      <c r="L47" s="29">
        <v>2</v>
      </c>
    </row>
    <row r="48" spans="1:12" ht="13.5" thickBot="1" x14ac:dyDescent="0.25">
      <c r="A48" s="43"/>
      <c r="B48" s="36"/>
      <c r="C48" s="36"/>
      <c r="D48" s="19"/>
      <c r="E48" s="19"/>
      <c r="F48" s="50" t="s">
        <v>90</v>
      </c>
      <c r="G48" s="51"/>
      <c r="H48" s="51"/>
      <c r="I48" s="52">
        <v>0.05</v>
      </c>
      <c r="J48" s="52"/>
      <c r="K48" s="53" t="s">
        <v>78</v>
      </c>
      <c r="L48" s="54">
        <v>2</v>
      </c>
    </row>
    <row r="49" spans="1:14" ht="13.5" thickBot="1" x14ac:dyDescent="0.25">
      <c r="A49" s="4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19"/>
      <c r="M49" s="19"/>
      <c r="N49" s="19"/>
    </row>
    <row r="50" spans="1:14" ht="45.75" thickBot="1" x14ac:dyDescent="0.25">
      <c r="A50" s="64" t="s">
        <v>21</v>
      </c>
      <c r="B50" s="65" t="s">
        <v>22</v>
      </c>
      <c r="C50" s="65" t="s">
        <v>23</v>
      </c>
      <c r="D50" s="65" t="s">
        <v>56</v>
      </c>
      <c r="E50" s="65" t="s">
        <v>57</v>
      </c>
      <c r="F50" s="65" t="s">
        <v>58</v>
      </c>
      <c r="G50" s="65" t="s">
        <v>59</v>
      </c>
      <c r="H50" s="65" t="s">
        <v>60</v>
      </c>
      <c r="I50" s="65" t="s">
        <v>61</v>
      </c>
      <c r="J50" s="65" t="s">
        <v>62</v>
      </c>
      <c r="K50" s="66" t="s">
        <v>63</v>
      </c>
      <c r="L50" s="66" t="s">
        <v>93</v>
      </c>
      <c r="M50" s="66" t="s">
        <v>91</v>
      </c>
      <c r="N50" s="89" t="s">
        <v>92</v>
      </c>
    </row>
    <row r="51" spans="1:14" x14ac:dyDescent="0.2">
      <c r="A51" s="67">
        <v>1</v>
      </c>
      <c r="B51" s="10" t="s">
        <v>24</v>
      </c>
      <c r="C51" s="11">
        <v>287.17</v>
      </c>
      <c r="D51" s="14">
        <f t="shared" ref="D51:D82" si="0">(IF(B51="","",ROUND(C51/$C$32,6)))</f>
        <v>1.1536169999999999</v>
      </c>
      <c r="E51" s="15">
        <v>1.72</v>
      </c>
      <c r="F51" s="16">
        <f t="shared" ref="F51:F82" si="1">IF(B51="","",ROUND(D51*E51,6))</f>
        <v>1.984221</v>
      </c>
      <c r="G51" s="17">
        <f t="shared" ref="G51:G82" si="2">+VLOOKUP(F51,$G$39:$I$46,3)</f>
        <v>5.3310000000000003E-2</v>
      </c>
      <c r="H51" s="16">
        <f t="shared" ref="H51:H82" si="3">IF(B51="","",ROUND(SUM($I$33:$I$37)+SUM($I$47:$I$48)+G51,6))</f>
        <v>0.244198</v>
      </c>
      <c r="I51" s="16">
        <f t="shared" ref="I51:I82" si="4">IF(B51="","",ROUND($I$31*C$34/F51,6))</f>
        <v>4.4840999999999999E-2</v>
      </c>
      <c r="J51" s="16">
        <f t="shared" ref="J51:J82" si="5">IF(B51="","",ROUND(IF(F51&gt;$C$35,($I$32-($I$32*$C$35/F51)),0),6))</f>
        <v>3.7460000000000002E-3</v>
      </c>
      <c r="K51" s="16">
        <f t="shared" ref="K51:K82" si="6">IF(B51="","",ROUND(+H51+I51+J51,6))</f>
        <v>0.29278500000000002</v>
      </c>
      <c r="L51" s="62">
        <f>+C51*E51</f>
        <v>493.93240000000003</v>
      </c>
      <c r="M51" s="16">
        <f>+K51*$C$25+$C$25</f>
        <v>1.7810671043165469</v>
      </c>
      <c r="N51" s="88">
        <f>+L51*M51</f>
        <v>879.72674939612239</v>
      </c>
    </row>
    <row r="52" spans="1:14" x14ac:dyDescent="0.2">
      <c r="A52" s="68">
        <v>2</v>
      </c>
      <c r="B52" s="12" t="s">
        <v>27</v>
      </c>
      <c r="C52" s="13">
        <v>248.93</v>
      </c>
      <c r="D52" s="18">
        <f t="shared" ref="D52:D66" si="7">(IF(B52="","",ROUND(C52/$C$32,6)))</f>
        <v>1</v>
      </c>
      <c r="E52" s="15">
        <v>1.5</v>
      </c>
      <c r="F52" s="16">
        <f t="shared" ref="F52:F66" si="8">IF(B52="","",ROUND(D52*E52,6))</f>
        <v>1.5</v>
      </c>
      <c r="G52" s="17">
        <f t="shared" ref="G52:G66" si="9">+VLOOKUP(F52,$G$39:$I$46,3)</f>
        <v>4.7559999999999998E-2</v>
      </c>
      <c r="H52" s="16">
        <f t="shared" si="3"/>
        <v>0.23844799999999999</v>
      </c>
      <c r="I52" s="16">
        <f t="shared" ref="I52:I66" si="10">IF(B52="","",ROUND($I$31*C$34/F52,6))</f>
        <v>5.9316000000000001E-2</v>
      </c>
      <c r="J52" s="16">
        <f t="shared" ref="J52:J66" si="11">IF(B52="","",ROUND(IF(F52&gt;$C$35,($I$32-($I$32*$C$35/F52)),0),6))</f>
        <v>1.405E-3</v>
      </c>
      <c r="K52" s="16">
        <f t="shared" ref="K52:K66" si="12">IF(B52="","",ROUND(+H52+I52+J52,6))</f>
        <v>0.29916900000000002</v>
      </c>
      <c r="L52" s="63">
        <f t="shared" ref="L52:L82" si="13">+C52*E52</f>
        <v>373.39499999999998</v>
      </c>
      <c r="M52" s="16">
        <f t="shared" ref="M52:M82" si="14">+K52*$C$25+$C$25</f>
        <v>1.7898623273381298</v>
      </c>
      <c r="N52" s="63">
        <f t="shared" ref="N52:N82" si="15">+L52*M52</f>
        <v>668.32564371642093</v>
      </c>
    </row>
    <row r="53" spans="1:14" x14ac:dyDescent="0.2">
      <c r="A53" s="68">
        <v>3</v>
      </c>
      <c r="B53" s="12" t="s">
        <v>28</v>
      </c>
      <c r="C53" s="13">
        <v>281.44</v>
      </c>
      <c r="D53" s="18">
        <f t="shared" si="7"/>
        <v>1.1305989999999999</v>
      </c>
      <c r="E53" s="15">
        <v>1.86</v>
      </c>
      <c r="F53" s="16">
        <f t="shared" si="8"/>
        <v>2.1029140000000002</v>
      </c>
      <c r="G53" s="17">
        <f t="shared" si="9"/>
        <v>5.3310000000000003E-2</v>
      </c>
      <c r="H53" s="16">
        <f t="shared" si="3"/>
        <v>0.244198</v>
      </c>
      <c r="I53" s="16">
        <f t="shared" si="10"/>
        <v>4.231E-2</v>
      </c>
      <c r="J53" s="16">
        <f t="shared" si="11"/>
        <v>4.156E-3</v>
      </c>
      <c r="K53" s="16">
        <f t="shared" si="12"/>
        <v>0.29066399999999998</v>
      </c>
      <c r="L53" s="63">
        <f t="shared" si="13"/>
        <v>523.47840000000008</v>
      </c>
      <c r="M53" s="16">
        <f t="shared" si="14"/>
        <v>1.7781450071942446</v>
      </c>
      <c r="N53" s="63">
        <f t="shared" si="15"/>
        <v>930.82050333403186</v>
      </c>
    </row>
    <row r="54" spans="1:14" x14ac:dyDescent="0.2">
      <c r="A54" s="68">
        <v>4</v>
      </c>
      <c r="B54" s="12" t="s">
        <v>30</v>
      </c>
      <c r="C54" s="13">
        <v>287.17</v>
      </c>
      <c r="D54" s="18">
        <f t="shared" si="7"/>
        <v>1.1536169999999999</v>
      </c>
      <c r="E54" s="15">
        <v>1.86</v>
      </c>
      <c r="F54" s="16">
        <f t="shared" si="8"/>
        <v>2.1457280000000001</v>
      </c>
      <c r="G54" s="17">
        <f t="shared" si="9"/>
        <v>5.3310000000000003E-2</v>
      </c>
      <c r="H54" s="16">
        <f t="shared" si="3"/>
        <v>0.244198</v>
      </c>
      <c r="I54" s="16">
        <f t="shared" si="10"/>
        <v>4.1466000000000003E-2</v>
      </c>
      <c r="J54" s="16">
        <f t="shared" si="11"/>
        <v>4.2919999999999998E-3</v>
      </c>
      <c r="K54" s="16">
        <f t="shared" si="12"/>
        <v>0.28995599999999999</v>
      </c>
      <c r="L54" s="63">
        <f t="shared" si="13"/>
        <v>534.13620000000003</v>
      </c>
      <c r="M54" s="16">
        <f t="shared" si="14"/>
        <v>1.7771695971223023</v>
      </c>
      <c r="N54" s="63">
        <f t="shared" si="15"/>
        <v>949.25061536243754</v>
      </c>
    </row>
    <row r="55" spans="1:14" x14ac:dyDescent="0.2">
      <c r="A55" s="68">
        <v>5</v>
      </c>
      <c r="B55" s="12" t="s">
        <v>32</v>
      </c>
      <c r="C55" s="13">
        <v>293.06</v>
      </c>
      <c r="D55" s="18">
        <f t="shared" si="7"/>
        <v>1.177279</v>
      </c>
      <c r="E55" s="15">
        <v>1.57</v>
      </c>
      <c r="F55" s="16">
        <f t="shared" si="8"/>
        <v>1.848328</v>
      </c>
      <c r="G55" s="17">
        <f t="shared" si="9"/>
        <v>5.3310000000000003E-2</v>
      </c>
      <c r="H55" s="16">
        <f t="shared" si="3"/>
        <v>0.244198</v>
      </c>
      <c r="I55" s="16">
        <f t="shared" si="10"/>
        <v>4.8138E-2</v>
      </c>
      <c r="J55" s="16">
        <f t="shared" si="11"/>
        <v>3.2130000000000001E-3</v>
      </c>
      <c r="K55" s="16">
        <f t="shared" si="12"/>
        <v>0.29554900000000001</v>
      </c>
      <c r="L55" s="63">
        <f t="shared" si="13"/>
        <v>460.10420000000005</v>
      </c>
      <c r="M55" s="16">
        <f t="shared" si="14"/>
        <v>1.7848750611510793</v>
      </c>
      <c r="N55" s="63">
        <f t="shared" si="15"/>
        <v>821.22851211086845</v>
      </c>
    </row>
    <row r="56" spans="1:14" x14ac:dyDescent="0.2">
      <c r="A56" s="68">
        <v>6</v>
      </c>
      <c r="B56" s="12" t="s">
        <v>36</v>
      </c>
      <c r="C56" s="13">
        <v>281.44</v>
      </c>
      <c r="D56" s="18">
        <f t="shared" si="7"/>
        <v>1.1305989999999999</v>
      </c>
      <c r="E56" s="15">
        <v>1.86</v>
      </c>
      <c r="F56" s="16">
        <f t="shared" si="8"/>
        <v>2.1029140000000002</v>
      </c>
      <c r="G56" s="17">
        <f t="shared" si="9"/>
        <v>5.3310000000000003E-2</v>
      </c>
      <c r="H56" s="16">
        <f t="shared" si="3"/>
        <v>0.244198</v>
      </c>
      <c r="I56" s="16">
        <f t="shared" si="10"/>
        <v>4.231E-2</v>
      </c>
      <c r="J56" s="16">
        <f t="shared" si="11"/>
        <v>4.156E-3</v>
      </c>
      <c r="K56" s="16">
        <f t="shared" si="12"/>
        <v>0.29066399999999998</v>
      </c>
      <c r="L56" s="63">
        <f t="shared" si="13"/>
        <v>523.47840000000008</v>
      </c>
      <c r="M56" s="16">
        <f t="shared" si="14"/>
        <v>1.7781450071942446</v>
      </c>
      <c r="N56" s="63">
        <f t="shared" si="15"/>
        <v>930.82050333403186</v>
      </c>
    </row>
    <row r="57" spans="1:14" x14ac:dyDescent="0.2">
      <c r="A57" s="68">
        <v>7</v>
      </c>
      <c r="B57" s="12" t="s">
        <v>37</v>
      </c>
      <c r="C57" s="13">
        <v>262.13</v>
      </c>
      <c r="D57" s="18">
        <f t="shared" si="7"/>
        <v>1.0530269999999999</v>
      </c>
      <c r="E57" s="15">
        <v>1.43</v>
      </c>
      <c r="F57" s="16">
        <f t="shared" si="8"/>
        <v>1.5058290000000001</v>
      </c>
      <c r="G57" s="17">
        <f t="shared" si="9"/>
        <v>4.7559999999999998E-2</v>
      </c>
      <c r="H57" s="16">
        <f t="shared" si="3"/>
        <v>0.23844799999999999</v>
      </c>
      <c r="I57" s="16">
        <f t="shared" si="10"/>
        <v>5.9086E-2</v>
      </c>
      <c r="J57" s="16">
        <f t="shared" si="11"/>
        <v>1.4419999999999999E-3</v>
      </c>
      <c r="K57" s="16">
        <f t="shared" si="12"/>
        <v>0.29897600000000002</v>
      </c>
      <c r="L57" s="63">
        <f t="shared" si="13"/>
        <v>374.84589999999997</v>
      </c>
      <c r="M57" s="16">
        <f t="shared" si="14"/>
        <v>1.7895964316546764</v>
      </c>
      <c r="N57" s="63">
        <f t="shared" si="15"/>
        <v>670.8228850603856</v>
      </c>
    </row>
    <row r="58" spans="1:14" x14ac:dyDescent="0.2">
      <c r="A58" s="68">
        <v>8</v>
      </c>
      <c r="B58" s="12" t="s">
        <v>38</v>
      </c>
      <c r="C58" s="13">
        <v>277.8</v>
      </c>
      <c r="D58" s="18">
        <f t="shared" si="7"/>
        <v>1.1159760000000001</v>
      </c>
      <c r="E58" s="15">
        <v>1.86</v>
      </c>
      <c r="F58" s="16">
        <f t="shared" si="8"/>
        <v>2.0757150000000002</v>
      </c>
      <c r="G58" s="17">
        <f t="shared" si="9"/>
        <v>5.3310000000000003E-2</v>
      </c>
      <c r="H58" s="16">
        <f t="shared" si="3"/>
        <v>0.244198</v>
      </c>
      <c r="I58" s="16">
        <f t="shared" si="10"/>
        <v>4.2863999999999999E-2</v>
      </c>
      <c r="J58" s="16">
        <f t="shared" si="11"/>
        <v>4.0660000000000002E-3</v>
      </c>
      <c r="K58" s="16">
        <f t="shared" si="12"/>
        <v>0.291128</v>
      </c>
      <c r="L58" s="63">
        <f t="shared" si="13"/>
        <v>516.70800000000008</v>
      </c>
      <c r="M58" s="16">
        <f t="shared" si="14"/>
        <v>1.7787842589928058</v>
      </c>
      <c r="N58" s="63">
        <f t="shared" si="15"/>
        <v>919.11205689565486</v>
      </c>
    </row>
    <row r="59" spans="1:14" x14ac:dyDescent="0.2">
      <c r="A59" s="68">
        <v>9</v>
      </c>
      <c r="B59" s="12" t="s">
        <v>39</v>
      </c>
      <c r="C59" s="13">
        <v>277.8</v>
      </c>
      <c r="D59" s="18">
        <f t="shared" si="7"/>
        <v>1.1159760000000001</v>
      </c>
      <c r="E59" s="15">
        <v>2</v>
      </c>
      <c r="F59" s="16">
        <f t="shared" si="8"/>
        <v>2.2319520000000002</v>
      </c>
      <c r="G59" s="17">
        <f t="shared" si="9"/>
        <v>5.3310000000000003E-2</v>
      </c>
      <c r="H59" s="16">
        <f t="shared" si="3"/>
        <v>0.244198</v>
      </c>
      <c r="I59" s="16">
        <f t="shared" si="10"/>
        <v>3.9863999999999997E-2</v>
      </c>
      <c r="J59" s="16">
        <f t="shared" si="11"/>
        <v>4.5510000000000004E-3</v>
      </c>
      <c r="K59" s="16">
        <f t="shared" si="12"/>
        <v>0.28861300000000001</v>
      </c>
      <c r="L59" s="63">
        <f t="shared" si="13"/>
        <v>555.6</v>
      </c>
      <c r="M59" s="16">
        <f t="shared" si="14"/>
        <v>1.7753193489208634</v>
      </c>
      <c r="N59" s="63">
        <f t="shared" si="15"/>
        <v>986.36743026043177</v>
      </c>
    </row>
    <row r="60" spans="1:14" x14ac:dyDescent="0.2">
      <c r="A60" s="68">
        <v>10</v>
      </c>
      <c r="B60" s="12" t="s">
        <v>41</v>
      </c>
      <c r="C60" s="13">
        <v>303.61</v>
      </c>
      <c r="D60" s="18">
        <f>(IF(B60="","",ROUND(C60/$C$32,6)))</f>
        <v>1.21966</v>
      </c>
      <c r="E60" s="15">
        <v>2</v>
      </c>
      <c r="F60" s="16">
        <f>IF(B60="","",ROUND(D60*E60,6))</f>
        <v>2.4393199999999999</v>
      </c>
      <c r="G60" s="17">
        <f>+VLOOKUP(F60,$G$39:$I$46,3)</f>
        <v>5.3310000000000003E-2</v>
      </c>
      <c r="H60" s="16">
        <f>IF(B60="","",ROUND(SUM($I$33:$I$37)+SUM($I$47:$I$48)+G60,6))</f>
        <v>0.244198</v>
      </c>
      <c r="I60" s="16">
        <f>IF(B60="","",ROUND($I$31*C$34/F60,6))</f>
        <v>3.6475E-2</v>
      </c>
      <c r="J60" s="16">
        <f>IF(B60="","",ROUND(IF(F60&gt;$C$35,($I$32-($I$32*$C$35/F60)),0),6))</f>
        <v>5.1000000000000004E-3</v>
      </c>
      <c r="K60" s="16">
        <f>IF(B60="","",ROUND(+H60+I60+J60,6))</f>
        <v>0.285773</v>
      </c>
      <c r="L60" s="63">
        <f t="shared" si="13"/>
        <v>607.22</v>
      </c>
      <c r="M60" s="16">
        <f t="shared" si="14"/>
        <v>1.7714066870503598</v>
      </c>
      <c r="N60" s="63">
        <f t="shared" si="15"/>
        <v>1075.6335685107194</v>
      </c>
    </row>
    <row r="61" spans="1:14" x14ac:dyDescent="0.2">
      <c r="A61" s="68">
        <v>11</v>
      </c>
      <c r="B61" s="12" t="s">
        <v>43</v>
      </c>
      <c r="C61" s="13">
        <v>273.92</v>
      </c>
      <c r="D61" s="18">
        <f t="shared" si="7"/>
        <v>1.10039</v>
      </c>
      <c r="E61" s="15">
        <v>2.5099999999999998</v>
      </c>
      <c r="F61" s="16">
        <f t="shared" si="8"/>
        <v>2.7619790000000002</v>
      </c>
      <c r="G61" s="17">
        <f t="shared" si="9"/>
        <v>5.3310000000000003E-2</v>
      </c>
      <c r="H61" s="16">
        <f t="shared" si="3"/>
        <v>0.244198</v>
      </c>
      <c r="I61" s="16">
        <f t="shared" si="10"/>
        <v>3.2214E-2</v>
      </c>
      <c r="J61" s="16">
        <f t="shared" si="11"/>
        <v>5.7889999999999999E-3</v>
      </c>
      <c r="K61" s="16">
        <f t="shared" si="12"/>
        <v>0.28220099999999998</v>
      </c>
      <c r="L61" s="63">
        <f t="shared" si="13"/>
        <v>687.53919999999994</v>
      </c>
      <c r="M61" s="16">
        <f t="shared" si="14"/>
        <v>1.7664855503597123</v>
      </c>
      <c r="N61" s="63">
        <f t="shared" si="15"/>
        <v>1214.5280621058762</v>
      </c>
    </row>
    <row r="62" spans="1:14" x14ac:dyDescent="0.2">
      <c r="A62" s="68">
        <v>12</v>
      </c>
      <c r="B62" s="12" t="s">
        <v>44</v>
      </c>
      <c r="C62" s="13">
        <v>248.93</v>
      </c>
      <c r="D62" s="18">
        <f t="shared" si="7"/>
        <v>1</v>
      </c>
      <c r="E62" s="15">
        <v>1.43</v>
      </c>
      <c r="F62" s="16">
        <f t="shared" si="8"/>
        <v>1.43</v>
      </c>
      <c r="G62" s="17">
        <f t="shared" si="9"/>
        <v>4.7559999999999998E-2</v>
      </c>
      <c r="H62" s="16">
        <f t="shared" si="3"/>
        <v>0.23844799999999999</v>
      </c>
      <c r="I62" s="16">
        <f t="shared" si="10"/>
        <v>6.2219999999999998E-2</v>
      </c>
      <c r="J62" s="16">
        <f t="shared" si="11"/>
        <v>9.3499999999999996E-4</v>
      </c>
      <c r="K62" s="16">
        <f t="shared" si="12"/>
        <v>0.30160300000000001</v>
      </c>
      <c r="L62" s="63">
        <f t="shared" si="13"/>
        <v>355.9699</v>
      </c>
      <c r="M62" s="16">
        <f t="shared" si="14"/>
        <v>1.7932156438848923</v>
      </c>
      <c r="N62" s="63">
        <f t="shared" si="15"/>
        <v>638.33079343214069</v>
      </c>
    </row>
    <row r="63" spans="1:14" x14ac:dyDescent="0.2">
      <c r="A63" s="68">
        <v>13</v>
      </c>
      <c r="B63" s="12" t="s">
        <v>45</v>
      </c>
      <c r="C63" s="13">
        <v>275.93</v>
      </c>
      <c r="D63" s="18">
        <f t="shared" si="7"/>
        <v>1.1084639999999999</v>
      </c>
      <c r="E63" s="15">
        <v>1.79</v>
      </c>
      <c r="F63" s="16">
        <f t="shared" si="8"/>
        <v>1.984151</v>
      </c>
      <c r="G63" s="17">
        <f t="shared" si="9"/>
        <v>5.3310000000000003E-2</v>
      </c>
      <c r="H63" s="16">
        <f t="shared" si="3"/>
        <v>0.244198</v>
      </c>
      <c r="I63" s="16">
        <f t="shared" si="10"/>
        <v>4.4842E-2</v>
      </c>
      <c r="J63" s="16">
        <f t="shared" si="11"/>
        <v>3.7460000000000002E-3</v>
      </c>
      <c r="K63" s="16">
        <f t="shared" si="12"/>
        <v>0.29278599999999999</v>
      </c>
      <c r="L63" s="63">
        <f t="shared" si="13"/>
        <v>493.91470000000004</v>
      </c>
      <c r="M63" s="16">
        <f t="shared" si="14"/>
        <v>1.7810684820143887</v>
      </c>
      <c r="N63" s="63">
        <f t="shared" si="15"/>
        <v>879.69590497359229</v>
      </c>
    </row>
    <row r="64" spans="1:14" x14ac:dyDescent="0.2">
      <c r="A64" s="68">
        <v>14</v>
      </c>
      <c r="B64" s="12" t="s">
        <v>46</v>
      </c>
      <c r="C64" s="13">
        <v>276.42</v>
      </c>
      <c r="D64" s="18">
        <f t="shared" si="7"/>
        <v>1.110433</v>
      </c>
      <c r="E64" s="15">
        <v>1.86</v>
      </c>
      <c r="F64" s="16">
        <f t="shared" si="8"/>
        <v>2.0654050000000002</v>
      </c>
      <c r="G64" s="17">
        <f t="shared" si="9"/>
        <v>5.3310000000000003E-2</v>
      </c>
      <c r="H64" s="16">
        <f t="shared" si="3"/>
        <v>0.244198</v>
      </c>
      <c r="I64" s="16">
        <f t="shared" si="10"/>
        <v>4.3077999999999998E-2</v>
      </c>
      <c r="J64" s="16">
        <f t="shared" si="11"/>
        <v>4.0309999999999999E-3</v>
      </c>
      <c r="K64" s="16">
        <f t="shared" si="12"/>
        <v>0.29130699999999998</v>
      </c>
      <c r="L64" s="63">
        <f t="shared" si="13"/>
        <v>514.14120000000003</v>
      </c>
      <c r="M64" s="16">
        <f t="shared" si="14"/>
        <v>1.7790308669064749</v>
      </c>
      <c r="N64" s="63">
        <f t="shared" si="15"/>
        <v>914.67306474833538</v>
      </c>
    </row>
    <row r="65" spans="1:14" x14ac:dyDescent="0.2">
      <c r="A65" s="68">
        <v>15</v>
      </c>
      <c r="B65" s="12" t="s">
        <v>53</v>
      </c>
      <c r="C65" s="13">
        <v>257.88</v>
      </c>
      <c r="D65" s="18">
        <f t="shared" si="7"/>
        <v>1.035954</v>
      </c>
      <c r="E65" s="15">
        <v>1.43</v>
      </c>
      <c r="F65" s="16">
        <f t="shared" si="8"/>
        <v>1.481414</v>
      </c>
      <c r="G65" s="17">
        <f t="shared" si="9"/>
        <v>4.7559999999999998E-2</v>
      </c>
      <c r="H65" s="16">
        <f t="shared" si="3"/>
        <v>0.23844799999999999</v>
      </c>
      <c r="I65" s="16">
        <f t="shared" si="10"/>
        <v>6.0060000000000002E-2</v>
      </c>
      <c r="J65" s="16">
        <f t="shared" si="11"/>
        <v>1.284E-3</v>
      </c>
      <c r="K65" s="16">
        <f t="shared" si="12"/>
        <v>0.299792</v>
      </c>
      <c r="L65" s="63">
        <f t="shared" si="13"/>
        <v>368.76839999999999</v>
      </c>
      <c r="M65" s="16">
        <f t="shared" si="14"/>
        <v>1.7907206330935252</v>
      </c>
      <c r="N65" s="63">
        <f t="shared" si="15"/>
        <v>660.36118271288638</v>
      </c>
    </row>
    <row r="66" spans="1:14" ht="13.5" thickBot="1" x14ac:dyDescent="0.25">
      <c r="A66" s="69">
        <v>16</v>
      </c>
      <c r="B66" s="70" t="s">
        <v>55</v>
      </c>
      <c r="C66" s="71">
        <v>268.02</v>
      </c>
      <c r="D66" s="72">
        <f t="shared" si="7"/>
        <v>1.0766880000000001</v>
      </c>
      <c r="E66" s="73">
        <v>2</v>
      </c>
      <c r="F66" s="74">
        <f t="shared" si="8"/>
        <v>2.1533760000000002</v>
      </c>
      <c r="G66" s="75">
        <f t="shared" si="9"/>
        <v>5.3310000000000003E-2</v>
      </c>
      <c r="H66" s="74">
        <f t="shared" si="3"/>
        <v>0.244198</v>
      </c>
      <c r="I66" s="74">
        <f t="shared" si="10"/>
        <v>4.1318000000000001E-2</v>
      </c>
      <c r="J66" s="74">
        <f t="shared" si="11"/>
        <v>4.3160000000000004E-3</v>
      </c>
      <c r="K66" s="74">
        <f t="shared" si="12"/>
        <v>0.28983199999999998</v>
      </c>
      <c r="L66" s="90">
        <f t="shared" si="13"/>
        <v>536.04</v>
      </c>
      <c r="M66" s="91">
        <f t="shared" si="14"/>
        <v>1.7769987625899282</v>
      </c>
      <c r="N66" s="90">
        <f t="shared" si="15"/>
        <v>952.54241669870498</v>
      </c>
    </row>
    <row r="67" spans="1:14" x14ac:dyDescent="0.2">
      <c r="A67" s="68">
        <v>17</v>
      </c>
      <c r="B67" s="12" t="s">
        <v>25</v>
      </c>
      <c r="C67" s="13">
        <v>287.17</v>
      </c>
      <c r="D67" s="18">
        <f t="shared" si="0"/>
        <v>1.1536169999999999</v>
      </c>
      <c r="E67" s="15">
        <v>2</v>
      </c>
      <c r="F67" s="16">
        <f t="shared" si="1"/>
        <v>2.3072339999999998</v>
      </c>
      <c r="G67" s="17">
        <f t="shared" si="2"/>
        <v>5.3310000000000003E-2</v>
      </c>
      <c r="H67" s="16">
        <f t="shared" si="3"/>
        <v>0.244198</v>
      </c>
      <c r="I67" s="16">
        <f t="shared" si="4"/>
        <v>3.8563E-2</v>
      </c>
      <c r="J67" s="16">
        <f t="shared" si="5"/>
        <v>4.7619999999999997E-3</v>
      </c>
      <c r="K67" s="16">
        <f t="shared" si="6"/>
        <v>0.28752299999999997</v>
      </c>
      <c r="L67" s="88">
        <f t="shared" si="13"/>
        <v>574.34</v>
      </c>
      <c r="M67" s="92">
        <f t="shared" si="14"/>
        <v>1.7738176582733813</v>
      </c>
      <c r="N67" s="88">
        <f t="shared" si="15"/>
        <v>1018.7744338527339</v>
      </c>
    </row>
    <row r="68" spans="1:14" x14ac:dyDescent="0.2">
      <c r="A68" s="68">
        <v>18</v>
      </c>
      <c r="B68" s="12" t="s">
        <v>26</v>
      </c>
      <c r="C68" s="13">
        <v>248.93</v>
      </c>
      <c r="D68" s="18">
        <f t="shared" si="0"/>
        <v>1</v>
      </c>
      <c r="E68" s="15">
        <v>1.57</v>
      </c>
      <c r="F68" s="16">
        <f t="shared" si="1"/>
        <v>1.57</v>
      </c>
      <c r="G68" s="17">
        <f t="shared" si="2"/>
        <v>4.8820000000000002E-2</v>
      </c>
      <c r="H68" s="16">
        <f t="shared" si="3"/>
        <v>0.239708</v>
      </c>
      <c r="I68" s="16">
        <f t="shared" si="4"/>
        <v>5.6670999999999999E-2</v>
      </c>
      <c r="J68" s="16">
        <f t="shared" si="5"/>
        <v>1.833E-3</v>
      </c>
      <c r="K68" s="16">
        <f t="shared" si="6"/>
        <v>0.29821199999999998</v>
      </c>
      <c r="L68" s="63">
        <f t="shared" si="13"/>
        <v>390.82010000000002</v>
      </c>
      <c r="M68" s="16">
        <f t="shared" si="14"/>
        <v>1.7885438705035972</v>
      </c>
      <c r="N68" s="63">
        <f t="shared" si="15"/>
        <v>698.99889432460293</v>
      </c>
    </row>
    <row r="69" spans="1:14" x14ac:dyDescent="0.2">
      <c r="A69" s="68">
        <v>19</v>
      </c>
      <c r="B69" s="12" t="s">
        <v>29</v>
      </c>
      <c r="C69" s="13">
        <v>287.17</v>
      </c>
      <c r="D69" s="18">
        <f t="shared" si="0"/>
        <v>1.1536169999999999</v>
      </c>
      <c r="E69" s="15">
        <v>1.86</v>
      </c>
      <c r="F69" s="16">
        <f t="shared" si="1"/>
        <v>2.1457280000000001</v>
      </c>
      <c r="G69" s="17">
        <f t="shared" si="2"/>
        <v>5.3310000000000003E-2</v>
      </c>
      <c r="H69" s="16">
        <f t="shared" si="3"/>
        <v>0.244198</v>
      </c>
      <c r="I69" s="16">
        <f t="shared" si="4"/>
        <v>4.1466000000000003E-2</v>
      </c>
      <c r="J69" s="16">
        <f t="shared" si="5"/>
        <v>4.2919999999999998E-3</v>
      </c>
      <c r="K69" s="16">
        <f t="shared" si="6"/>
        <v>0.28995599999999999</v>
      </c>
      <c r="L69" s="63">
        <f t="shared" si="13"/>
        <v>534.13620000000003</v>
      </c>
      <c r="M69" s="16">
        <f t="shared" si="14"/>
        <v>1.7771695971223023</v>
      </c>
      <c r="N69" s="63">
        <f t="shared" si="15"/>
        <v>949.25061536243754</v>
      </c>
    </row>
    <row r="70" spans="1:14" ht="22.5" x14ac:dyDescent="0.2">
      <c r="A70" s="68">
        <v>20</v>
      </c>
      <c r="B70" s="12" t="s">
        <v>31</v>
      </c>
      <c r="C70" s="13">
        <v>282.44</v>
      </c>
      <c r="D70" s="18">
        <f t="shared" si="0"/>
        <v>1.1346160000000001</v>
      </c>
      <c r="E70" s="15">
        <v>2</v>
      </c>
      <c r="F70" s="16">
        <f t="shared" si="1"/>
        <v>2.2692320000000001</v>
      </c>
      <c r="G70" s="17">
        <f t="shared" si="2"/>
        <v>5.3310000000000003E-2</v>
      </c>
      <c r="H70" s="16">
        <f t="shared" si="3"/>
        <v>0.244198</v>
      </c>
      <c r="I70" s="16">
        <f t="shared" si="4"/>
        <v>3.9209000000000001E-2</v>
      </c>
      <c r="J70" s="16">
        <f t="shared" si="5"/>
        <v>4.6569999999999997E-3</v>
      </c>
      <c r="K70" s="16">
        <f t="shared" si="6"/>
        <v>0.28806399999999999</v>
      </c>
      <c r="L70" s="63">
        <f t="shared" si="13"/>
        <v>564.88</v>
      </c>
      <c r="M70" s="16">
        <f t="shared" si="14"/>
        <v>1.7745629928057556</v>
      </c>
      <c r="N70" s="63">
        <f t="shared" si="15"/>
        <v>1002.4151433761152</v>
      </c>
    </row>
    <row r="71" spans="1:14" x14ac:dyDescent="0.2">
      <c r="A71" s="68">
        <v>21</v>
      </c>
      <c r="B71" s="12" t="s">
        <v>33</v>
      </c>
      <c r="C71" s="13">
        <v>284.76</v>
      </c>
      <c r="D71" s="18">
        <f t="shared" si="0"/>
        <v>1.1439360000000001</v>
      </c>
      <c r="E71" s="15">
        <v>1.43</v>
      </c>
      <c r="F71" s="16">
        <f t="shared" si="1"/>
        <v>1.6358280000000001</v>
      </c>
      <c r="G71" s="17">
        <f t="shared" si="2"/>
        <v>4.8820000000000002E-2</v>
      </c>
      <c r="H71" s="16">
        <f t="shared" si="3"/>
        <v>0.239708</v>
      </c>
      <c r="I71" s="16">
        <f t="shared" si="4"/>
        <v>5.4391000000000002E-2</v>
      </c>
      <c r="J71" s="16">
        <f t="shared" si="5"/>
        <v>2.2009999999999998E-3</v>
      </c>
      <c r="K71" s="16">
        <f t="shared" si="6"/>
        <v>0.29630000000000001</v>
      </c>
      <c r="L71" s="63">
        <f t="shared" si="13"/>
        <v>407.20679999999999</v>
      </c>
      <c r="M71" s="16">
        <f t="shared" si="14"/>
        <v>1.7859097122302159</v>
      </c>
      <c r="N71" s="63">
        <f t="shared" si="15"/>
        <v>727.234579006187</v>
      </c>
    </row>
    <row r="72" spans="1:14" x14ac:dyDescent="0.2">
      <c r="A72" s="68">
        <v>22</v>
      </c>
      <c r="B72" s="12" t="s">
        <v>34</v>
      </c>
      <c r="C72" s="13">
        <v>281.44</v>
      </c>
      <c r="D72" s="18">
        <f t="shared" si="0"/>
        <v>1.1305989999999999</v>
      </c>
      <c r="E72" s="15">
        <v>1.86</v>
      </c>
      <c r="F72" s="16">
        <f t="shared" si="1"/>
        <v>2.1029140000000002</v>
      </c>
      <c r="G72" s="17">
        <f t="shared" si="2"/>
        <v>5.3310000000000003E-2</v>
      </c>
      <c r="H72" s="16">
        <f t="shared" si="3"/>
        <v>0.244198</v>
      </c>
      <c r="I72" s="16">
        <f t="shared" si="4"/>
        <v>4.231E-2</v>
      </c>
      <c r="J72" s="16">
        <f t="shared" si="5"/>
        <v>4.156E-3</v>
      </c>
      <c r="K72" s="16">
        <f t="shared" si="6"/>
        <v>0.29066399999999998</v>
      </c>
      <c r="L72" s="63">
        <f t="shared" si="13"/>
        <v>523.47840000000008</v>
      </c>
      <c r="M72" s="16">
        <f t="shared" si="14"/>
        <v>1.7781450071942446</v>
      </c>
      <c r="N72" s="63">
        <f t="shared" si="15"/>
        <v>930.82050333403186</v>
      </c>
    </row>
    <row r="73" spans="1:14" ht="22.5" x14ac:dyDescent="0.2">
      <c r="A73" s="68">
        <v>23</v>
      </c>
      <c r="B73" s="12" t="s">
        <v>35</v>
      </c>
      <c r="C73" s="13">
        <v>281.44</v>
      </c>
      <c r="D73" s="18">
        <f t="shared" si="0"/>
        <v>1.1305989999999999</v>
      </c>
      <c r="E73" s="15">
        <v>2</v>
      </c>
      <c r="F73" s="16">
        <f t="shared" si="1"/>
        <v>2.2611979999999998</v>
      </c>
      <c r="G73" s="17">
        <f t="shared" si="2"/>
        <v>5.3310000000000003E-2</v>
      </c>
      <c r="H73" s="16">
        <f t="shared" si="3"/>
        <v>0.244198</v>
      </c>
      <c r="I73" s="16">
        <f t="shared" si="4"/>
        <v>3.9348000000000001E-2</v>
      </c>
      <c r="J73" s="16">
        <f t="shared" si="5"/>
        <v>4.6350000000000002E-3</v>
      </c>
      <c r="K73" s="16">
        <f t="shared" si="6"/>
        <v>0.28818100000000002</v>
      </c>
      <c r="L73" s="63">
        <f t="shared" si="13"/>
        <v>562.88</v>
      </c>
      <c r="M73" s="16">
        <f t="shared" si="14"/>
        <v>1.7747241834532375</v>
      </c>
      <c r="N73" s="63">
        <f t="shared" si="15"/>
        <v>998.95674838215825</v>
      </c>
    </row>
    <row r="74" spans="1:14" x14ac:dyDescent="0.2">
      <c r="A74" s="68">
        <v>24</v>
      </c>
      <c r="B74" s="12" t="s">
        <v>40</v>
      </c>
      <c r="C74" s="13">
        <v>248.93</v>
      </c>
      <c r="D74" s="18">
        <f t="shared" si="0"/>
        <v>1</v>
      </c>
      <c r="E74" s="15">
        <v>1.43</v>
      </c>
      <c r="F74" s="16">
        <f t="shared" si="1"/>
        <v>1.43</v>
      </c>
      <c r="G74" s="17">
        <f t="shared" si="2"/>
        <v>4.7559999999999998E-2</v>
      </c>
      <c r="H74" s="16">
        <f t="shared" si="3"/>
        <v>0.23844799999999999</v>
      </c>
      <c r="I74" s="16">
        <f t="shared" si="4"/>
        <v>6.2219999999999998E-2</v>
      </c>
      <c r="J74" s="16">
        <f t="shared" si="5"/>
        <v>9.3499999999999996E-4</v>
      </c>
      <c r="K74" s="16">
        <f t="shared" si="6"/>
        <v>0.30160300000000001</v>
      </c>
      <c r="L74" s="63">
        <f t="shared" si="13"/>
        <v>355.9699</v>
      </c>
      <c r="M74" s="16">
        <f t="shared" si="14"/>
        <v>1.7932156438848923</v>
      </c>
      <c r="N74" s="63">
        <f t="shared" si="15"/>
        <v>638.33079343214069</v>
      </c>
    </row>
    <row r="75" spans="1:14" x14ac:dyDescent="0.2">
      <c r="A75" s="68">
        <v>25</v>
      </c>
      <c r="B75" s="12" t="s">
        <v>42</v>
      </c>
      <c r="C75" s="13">
        <v>303.61</v>
      </c>
      <c r="D75" s="18">
        <f t="shared" si="0"/>
        <v>1.21966</v>
      </c>
      <c r="E75" s="15">
        <v>1.86</v>
      </c>
      <c r="F75" s="16">
        <f t="shared" si="1"/>
        <v>2.2685680000000001</v>
      </c>
      <c r="G75" s="17">
        <f t="shared" si="2"/>
        <v>5.3310000000000003E-2</v>
      </c>
      <c r="H75" s="16">
        <f t="shared" si="3"/>
        <v>0.244198</v>
      </c>
      <c r="I75" s="16">
        <f t="shared" si="4"/>
        <v>3.9219999999999998E-2</v>
      </c>
      <c r="J75" s="16">
        <f t="shared" si="5"/>
        <v>4.6560000000000004E-3</v>
      </c>
      <c r="K75" s="16">
        <f t="shared" si="6"/>
        <v>0.288074</v>
      </c>
      <c r="L75" s="63">
        <f t="shared" si="13"/>
        <v>564.71460000000002</v>
      </c>
      <c r="M75" s="16">
        <f t="shared" si="14"/>
        <v>1.7745767697841728</v>
      </c>
      <c r="N75" s="63">
        <f t="shared" si="15"/>
        <v>1002.1294107179613</v>
      </c>
    </row>
    <row r="76" spans="1:14" x14ac:dyDescent="0.2">
      <c r="A76" s="68">
        <v>26</v>
      </c>
      <c r="B76" s="12" t="s">
        <v>47</v>
      </c>
      <c r="C76" s="13">
        <v>287.17</v>
      </c>
      <c r="D76" s="18">
        <f t="shared" si="0"/>
        <v>1.1536169999999999</v>
      </c>
      <c r="E76" s="15">
        <v>2.15</v>
      </c>
      <c r="F76" s="16">
        <f t="shared" si="1"/>
        <v>2.4802770000000001</v>
      </c>
      <c r="G76" s="17">
        <f t="shared" si="2"/>
        <v>5.3310000000000003E-2</v>
      </c>
      <c r="H76" s="16">
        <f t="shared" si="3"/>
        <v>0.244198</v>
      </c>
      <c r="I76" s="16">
        <f t="shared" si="4"/>
        <v>3.5873000000000002E-2</v>
      </c>
      <c r="J76" s="16">
        <f t="shared" si="5"/>
        <v>5.1970000000000002E-3</v>
      </c>
      <c r="K76" s="16">
        <f t="shared" si="6"/>
        <v>0.28526800000000002</v>
      </c>
      <c r="L76" s="63">
        <f t="shared" si="13"/>
        <v>617.41550000000007</v>
      </c>
      <c r="M76" s="16">
        <f t="shared" si="14"/>
        <v>1.770710949640288</v>
      </c>
      <c r="N76" s="63">
        <f t="shared" si="15"/>
        <v>1093.2643863276332</v>
      </c>
    </row>
    <row r="77" spans="1:14" x14ac:dyDescent="0.2">
      <c r="A77" s="68">
        <v>27</v>
      </c>
      <c r="B77" s="12" t="s">
        <v>48</v>
      </c>
      <c r="C77" s="13">
        <v>287.17</v>
      </c>
      <c r="D77" s="18">
        <f t="shared" si="0"/>
        <v>1.1536169999999999</v>
      </c>
      <c r="E77" s="15">
        <v>2.15</v>
      </c>
      <c r="F77" s="16">
        <f t="shared" si="1"/>
        <v>2.4802770000000001</v>
      </c>
      <c r="G77" s="17">
        <f t="shared" si="2"/>
        <v>5.3310000000000003E-2</v>
      </c>
      <c r="H77" s="16">
        <f t="shared" si="3"/>
        <v>0.244198</v>
      </c>
      <c r="I77" s="16">
        <f t="shared" si="4"/>
        <v>3.5873000000000002E-2</v>
      </c>
      <c r="J77" s="16">
        <f t="shared" si="5"/>
        <v>5.1970000000000002E-3</v>
      </c>
      <c r="K77" s="16">
        <f t="shared" si="6"/>
        <v>0.28526800000000002</v>
      </c>
      <c r="L77" s="63">
        <f t="shared" si="13"/>
        <v>617.41550000000007</v>
      </c>
      <c r="M77" s="16">
        <f t="shared" si="14"/>
        <v>1.770710949640288</v>
      </c>
      <c r="N77" s="63">
        <f t="shared" si="15"/>
        <v>1093.2643863276332</v>
      </c>
    </row>
    <row r="78" spans="1:14" x14ac:dyDescent="0.2">
      <c r="A78" s="68">
        <v>28</v>
      </c>
      <c r="B78" s="12" t="s">
        <v>49</v>
      </c>
      <c r="C78" s="13">
        <v>284.16000000000003</v>
      </c>
      <c r="D78" s="18">
        <f t="shared" si="0"/>
        <v>1.141526</v>
      </c>
      <c r="E78" s="15">
        <v>2</v>
      </c>
      <c r="F78" s="16">
        <f t="shared" si="1"/>
        <v>2.2830520000000001</v>
      </c>
      <c r="G78" s="17">
        <f t="shared" si="2"/>
        <v>5.3310000000000003E-2</v>
      </c>
      <c r="H78" s="16">
        <f t="shared" si="3"/>
        <v>0.244198</v>
      </c>
      <c r="I78" s="16">
        <f t="shared" si="4"/>
        <v>3.8972E-2</v>
      </c>
      <c r="J78" s="16">
        <f t="shared" si="5"/>
        <v>4.6959999999999997E-3</v>
      </c>
      <c r="K78" s="16">
        <f t="shared" si="6"/>
        <v>0.28786600000000001</v>
      </c>
      <c r="L78" s="63">
        <f t="shared" si="13"/>
        <v>568.32000000000005</v>
      </c>
      <c r="M78" s="16">
        <f t="shared" si="14"/>
        <v>1.7742902086330936</v>
      </c>
      <c r="N78" s="63">
        <f t="shared" si="15"/>
        <v>1008.3646113703599</v>
      </c>
    </row>
    <row r="79" spans="1:14" x14ac:dyDescent="0.2">
      <c r="A79" s="68">
        <v>29</v>
      </c>
      <c r="B79" s="12" t="s">
        <v>50</v>
      </c>
      <c r="C79" s="13">
        <v>284.16000000000003</v>
      </c>
      <c r="D79" s="18">
        <f t="shared" si="0"/>
        <v>1.141526</v>
      </c>
      <c r="E79" s="15">
        <v>1.86</v>
      </c>
      <c r="F79" s="16">
        <f t="shared" si="1"/>
        <v>2.1232380000000002</v>
      </c>
      <c r="G79" s="17">
        <f t="shared" si="2"/>
        <v>5.3310000000000003E-2</v>
      </c>
      <c r="H79" s="16">
        <f t="shared" si="3"/>
        <v>0.244198</v>
      </c>
      <c r="I79" s="16">
        <f t="shared" si="4"/>
        <v>4.1904999999999998E-2</v>
      </c>
      <c r="J79" s="16">
        <f t="shared" si="5"/>
        <v>4.2209999999999999E-3</v>
      </c>
      <c r="K79" s="16">
        <f t="shared" si="6"/>
        <v>0.29032400000000003</v>
      </c>
      <c r="L79" s="63">
        <f t="shared" si="13"/>
        <v>528.53760000000011</v>
      </c>
      <c r="M79" s="16">
        <f t="shared" si="14"/>
        <v>1.7776765899280578</v>
      </c>
      <c r="N79" s="63">
        <f t="shared" si="15"/>
        <v>939.56891841675997</v>
      </c>
    </row>
    <row r="80" spans="1:14" x14ac:dyDescent="0.2">
      <c r="A80" s="68">
        <v>30</v>
      </c>
      <c r="B80" s="12" t="s">
        <v>51</v>
      </c>
      <c r="C80" s="13">
        <v>287.17</v>
      </c>
      <c r="D80" s="18">
        <f t="shared" si="0"/>
        <v>1.1536169999999999</v>
      </c>
      <c r="E80" s="15">
        <v>2</v>
      </c>
      <c r="F80" s="16">
        <f t="shared" si="1"/>
        <v>2.3072339999999998</v>
      </c>
      <c r="G80" s="17">
        <f t="shared" si="2"/>
        <v>5.3310000000000003E-2</v>
      </c>
      <c r="H80" s="16">
        <f t="shared" si="3"/>
        <v>0.244198</v>
      </c>
      <c r="I80" s="16">
        <f t="shared" si="4"/>
        <v>3.8563E-2</v>
      </c>
      <c r="J80" s="16">
        <f t="shared" si="5"/>
        <v>4.7619999999999997E-3</v>
      </c>
      <c r="K80" s="16">
        <f t="shared" si="6"/>
        <v>0.28752299999999997</v>
      </c>
      <c r="L80" s="63">
        <f t="shared" si="13"/>
        <v>574.34</v>
      </c>
      <c r="M80" s="16">
        <f t="shared" si="14"/>
        <v>1.7738176582733813</v>
      </c>
      <c r="N80" s="63">
        <f t="shared" si="15"/>
        <v>1018.7744338527339</v>
      </c>
    </row>
    <row r="81" spans="1:14" x14ac:dyDescent="0.2">
      <c r="A81" s="68">
        <v>31</v>
      </c>
      <c r="B81" s="12" t="s">
        <v>52</v>
      </c>
      <c r="C81" s="13">
        <v>287.17</v>
      </c>
      <c r="D81" s="18">
        <f t="shared" si="0"/>
        <v>1.1536169999999999</v>
      </c>
      <c r="E81" s="15">
        <v>2.15</v>
      </c>
      <c r="F81" s="16">
        <f t="shared" si="1"/>
        <v>2.4802770000000001</v>
      </c>
      <c r="G81" s="17">
        <f t="shared" si="2"/>
        <v>5.3310000000000003E-2</v>
      </c>
      <c r="H81" s="16">
        <f t="shared" si="3"/>
        <v>0.244198</v>
      </c>
      <c r="I81" s="16">
        <f t="shared" si="4"/>
        <v>3.5873000000000002E-2</v>
      </c>
      <c r="J81" s="16">
        <f t="shared" si="5"/>
        <v>5.1970000000000002E-3</v>
      </c>
      <c r="K81" s="16">
        <f t="shared" si="6"/>
        <v>0.28526800000000002</v>
      </c>
      <c r="L81" s="63">
        <f t="shared" si="13"/>
        <v>617.41550000000007</v>
      </c>
      <c r="M81" s="16">
        <f t="shared" si="14"/>
        <v>1.770710949640288</v>
      </c>
      <c r="N81" s="63">
        <f t="shared" si="15"/>
        <v>1093.2643863276332</v>
      </c>
    </row>
    <row r="82" spans="1:14" ht="13.5" thickBot="1" x14ac:dyDescent="0.25">
      <c r="A82" s="69">
        <v>32</v>
      </c>
      <c r="B82" s="70" t="s">
        <v>54</v>
      </c>
      <c r="C82" s="71">
        <v>287.17</v>
      </c>
      <c r="D82" s="72">
        <f t="shared" si="0"/>
        <v>1.1536169999999999</v>
      </c>
      <c r="E82" s="73">
        <v>2</v>
      </c>
      <c r="F82" s="74">
        <f t="shared" si="1"/>
        <v>2.3072339999999998</v>
      </c>
      <c r="G82" s="75">
        <f t="shared" si="2"/>
        <v>5.3310000000000003E-2</v>
      </c>
      <c r="H82" s="74">
        <f t="shared" si="3"/>
        <v>0.244198</v>
      </c>
      <c r="I82" s="74">
        <f t="shared" si="4"/>
        <v>3.8563E-2</v>
      </c>
      <c r="J82" s="74">
        <f t="shared" si="5"/>
        <v>4.7619999999999997E-3</v>
      </c>
      <c r="K82" s="74">
        <f t="shared" si="6"/>
        <v>0.28752299999999997</v>
      </c>
      <c r="L82" s="90">
        <f t="shared" si="13"/>
        <v>574.34</v>
      </c>
      <c r="M82" s="91">
        <f t="shared" si="14"/>
        <v>1.7738176582733813</v>
      </c>
      <c r="N82" s="90">
        <f t="shared" si="15"/>
        <v>1018.7744338527339</v>
      </c>
    </row>
  </sheetData>
  <mergeCells count="5">
    <mergeCell ref="F28:L28"/>
    <mergeCell ref="A29:C29"/>
    <mergeCell ref="B1:H1"/>
    <mergeCell ref="B2:H2"/>
    <mergeCell ref="B3:H3"/>
  </mergeCells>
  <pageMargins left="0" right="0" top="0" bottom="0" header="0.31496062992125984" footer="0.31496062992125984"/>
  <pageSetup scale="55" orientation="portrait" r:id="rId1"/>
  <ignoredErrors>
    <ignoredError sqref="L51:L82 N51:N8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del FSR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Ing. Madera</cp:lastModifiedBy>
  <cp:lastPrinted>2024-09-15T03:01:43Z</cp:lastPrinted>
  <dcterms:created xsi:type="dcterms:W3CDTF">2024-09-10T15:36:03Z</dcterms:created>
  <dcterms:modified xsi:type="dcterms:W3CDTF">2024-10-08T04:56:51Z</dcterms:modified>
</cp:coreProperties>
</file>