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8_{29C54ED1-18A4-4C9E-86D6-5320CD6782E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3" i="1" l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47" i="1"/>
  <c r="C17" i="1"/>
  <c r="C19" i="1" s="1"/>
  <c r="C5" i="1"/>
  <c r="C6" i="1" s="1"/>
  <c r="C21" i="1" s="1"/>
  <c r="D62" i="1" l="1"/>
  <c r="F62" i="1" s="1"/>
  <c r="D78" i="1"/>
  <c r="F78" i="1" s="1"/>
  <c r="D61" i="1"/>
  <c r="F61" i="1" s="1"/>
  <c r="D77" i="1"/>
  <c r="F77" i="1" s="1"/>
  <c r="D76" i="1"/>
  <c r="F76" i="1" s="1"/>
  <c r="D75" i="1"/>
  <c r="F75" i="1" s="1"/>
  <c r="D74" i="1"/>
  <c r="F74" i="1" s="1"/>
  <c r="D73" i="1"/>
  <c r="F73" i="1" s="1"/>
  <c r="D72" i="1"/>
  <c r="F72" i="1" s="1"/>
  <c r="D60" i="1"/>
  <c r="F60" i="1" s="1"/>
  <c r="D59" i="1"/>
  <c r="F59" i="1" s="1"/>
  <c r="D58" i="1"/>
  <c r="F58" i="1" s="1"/>
  <c r="D57" i="1"/>
  <c r="F57" i="1" s="1"/>
  <c r="D71" i="1"/>
  <c r="F71" i="1" s="1"/>
  <c r="D56" i="1"/>
  <c r="F56" i="1" s="1"/>
  <c r="D70" i="1"/>
  <c r="F70" i="1" s="1"/>
  <c r="D55" i="1"/>
  <c r="F55" i="1" s="1"/>
  <c r="D54" i="1"/>
  <c r="F54" i="1" s="1"/>
  <c r="D53" i="1"/>
  <c r="F53" i="1" s="1"/>
  <c r="D52" i="1"/>
  <c r="F52" i="1" s="1"/>
  <c r="D69" i="1"/>
  <c r="F69" i="1" s="1"/>
  <c r="D68" i="1"/>
  <c r="F68" i="1" s="1"/>
  <c r="D67" i="1"/>
  <c r="F67" i="1" s="1"/>
  <c r="D51" i="1"/>
  <c r="F51" i="1" s="1"/>
  <c r="D66" i="1"/>
  <c r="F66" i="1" s="1"/>
  <c r="D50" i="1"/>
  <c r="F50" i="1" s="1"/>
  <c r="D65" i="1"/>
  <c r="F65" i="1" s="1"/>
  <c r="D49" i="1"/>
  <c r="F49" i="1" s="1"/>
  <c r="D48" i="1"/>
  <c r="F48" i="1" s="1"/>
  <c r="D64" i="1"/>
  <c r="F64" i="1" s="1"/>
  <c r="D63" i="1"/>
  <c r="F63" i="1" s="1"/>
  <c r="D47" i="1"/>
  <c r="F47" i="1" s="1"/>
  <c r="H42" i="1"/>
  <c r="G42" i="1"/>
  <c r="H41" i="1"/>
  <c r="G41" i="1"/>
  <c r="H40" i="1"/>
  <c r="G40" i="1"/>
  <c r="H39" i="1"/>
  <c r="G39" i="1"/>
  <c r="H38" i="1"/>
  <c r="G38" i="1"/>
  <c r="H37" i="1"/>
  <c r="G37" i="1"/>
  <c r="H36" i="1"/>
  <c r="G36" i="1"/>
  <c r="H35" i="1"/>
  <c r="G35" i="1"/>
  <c r="C30" i="1"/>
  <c r="C31" i="1" s="1"/>
  <c r="G49" i="1" l="1"/>
  <c r="H49" i="1" s="1"/>
  <c r="I65" i="1"/>
  <c r="I77" i="1"/>
  <c r="J75" i="1"/>
  <c r="J66" i="1"/>
  <c r="J60" i="1"/>
  <c r="G71" i="1"/>
  <c r="H71" i="1" s="1"/>
  <c r="G57" i="1"/>
  <c r="H57" i="1" s="1"/>
  <c r="G63" i="1"/>
  <c r="H63" i="1" s="1"/>
  <c r="J53" i="1"/>
  <c r="J70" i="1"/>
  <c r="G58" i="1"/>
  <c r="H58" i="1" s="1"/>
  <c r="G54" i="1"/>
  <c r="H54" i="1" s="1"/>
  <c r="I54" i="1"/>
  <c r="I68" i="1"/>
  <c r="G68" i="1"/>
  <c r="H68" i="1" s="1"/>
  <c r="J49" i="1"/>
  <c r="J74" i="1"/>
  <c r="G74" i="1"/>
  <c r="H74" i="1" s="1"/>
  <c r="J58" i="1"/>
  <c r="J56" i="1"/>
  <c r="G56" i="1"/>
  <c r="H56" i="1" s="1"/>
  <c r="J55" i="1"/>
  <c r="G55" i="1"/>
  <c r="H55" i="1" s="1"/>
  <c r="J50" i="1"/>
  <c r="I50" i="1"/>
  <c r="G50" i="1"/>
  <c r="H50" i="1" s="1"/>
  <c r="J59" i="1"/>
  <c r="G59" i="1"/>
  <c r="H59" i="1" s="1"/>
  <c r="J47" i="1"/>
  <c r="I47" i="1"/>
  <c r="G47" i="1"/>
  <c r="H47" i="1" s="1"/>
  <c r="J69" i="1"/>
  <c r="G69" i="1"/>
  <c r="H69" i="1" s="1"/>
  <c r="G52" i="1"/>
  <c r="H52" i="1" s="1"/>
  <c r="J52" i="1"/>
  <c r="J76" i="1"/>
  <c r="G76" i="1"/>
  <c r="H76" i="1" s="1"/>
  <c r="J64" i="1"/>
  <c r="I64" i="1"/>
  <c r="G64" i="1"/>
  <c r="H64" i="1" s="1"/>
  <c r="G51" i="1"/>
  <c r="H51" i="1" s="1"/>
  <c r="J51" i="1"/>
  <c r="I51" i="1"/>
  <c r="G77" i="1"/>
  <c r="H77" i="1" s="1"/>
  <c r="J77" i="1"/>
  <c r="I48" i="1"/>
  <c r="J48" i="1"/>
  <c r="G48" i="1"/>
  <c r="H48" i="1" s="1"/>
  <c r="J61" i="1"/>
  <c r="G61" i="1"/>
  <c r="H61" i="1" s="1"/>
  <c r="J67" i="1"/>
  <c r="I67" i="1"/>
  <c r="G67" i="1"/>
  <c r="H67" i="1" s="1"/>
  <c r="J72" i="1"/>
  <c r="G72" i="1"/>
  <c r="H72" i="1" s="1"/>
  <c r="I72" i="1"/>
  <c r="J78" i="1"/>
  <c r="I78" i="1"/>
  <c r="G78" i="1"/>
  <c r="H78" i="1" s="1"/>
  <c r="J73" i="1"/>
  <c r="G73" i="1"/>
  <c r="H73" i="1" s="1"/>
  <c r="J62" i="1"/>
  <c r="G62" i="1"/>
  <c r="H62" i="1" s="1"/>
  <c r="I63" i="1"/>
  <c r="J63" i="1"/>
  <c r="I71" i="1"/>
  <c r="G65" i="1"/>
  <c r="H65" i="1" s="1"/>
  <c r="G70" i="1"/>
  <c r="H70" i="1" s="1"/>
  <c r="I58" i="1"/>
  <c r="I74" i="1"/>
  <c r="I70" i="1"/>
  <c r="J65" i="1"/>
  <c r="G66" i="1"/>
  <c r="H66" i="1" s="1"/>
  <c r="I69" i="1"/>
  <c r="G53" i="1"/>
  <c r="H53" i="1" s="1"/>
  <c r="G60" i="1"/>
  <c r="H60" i="1" s="1"/>
  <c r="I76" i="1"/>
  <c r="I56" i="1"/>
  <c r="J68" i="1"/>
  <c r="I66" i="1"/>
  <c r="I53" i="1"/>
  <c r="I60" i="1"/>
  <c r="J71" i="1"/>
  <c r="I61" i="1"/>
  <c r="I57" i="1"/>
  <c r="I55" i="1"/>
  <c r="J57" i="1"/>
  <c r="I73" i="1"/>
  <c r="G75" i="1"/>
  <c r="H75" i="1" s="1"/>
  <c r="I62" i="1"/>
  <c r="I49" i="1"/>
  <c r="J54" i="1"/>
  <c r="I75" i="1"/>
  <c r="I59" i="1"/>
  <c r="I52" i="1"/>
  <c r="K47" i="1" l="1"/>
  <c r="M47" i="1" s="1"/>
  <c r="N47" i="1" s="1"/>
  <c r="K58" i="1"/>
  <c r="M58" i="1" s="1"/>
  <c r="N58" i="1" s="1"/>
  <c r="K63" i="1"/>
  <c r="M63" i="1" s="1"/>
  <c r="N63" i="1" s="1"/>
  <c r="K54" i="1"/>
  <c r="M54" i="1" s="1"/>
  <c r="N54" i="1" s="1"/>
  <c r="K49" i="1"/>
  <c r="M49" i="1" s="1"/>
  <c r="N49" i="1" s="1"/>
  <c r="K77" i="1"/>
  <c r="M77" i="1" s="1"/>
  <c r="N77" i="1" s="1"/>
  <c r="K56" i="1"/>
  <c r="M56" i="1" s="1"/>
  <c r="N56" i="1" s="1"/>
  <c r="K59" i="1"/>
  <c r="M59" i="1" s="1"/>
  <c r="N59" i="1" s="1"/>
  <c r="K67" i="1"/>
  <c r="M67" i="1" s="1"/>
  <c r="N67" i="1" s="1"/>
  <c r="K50" i="1"/>
  <c r="M50" i="1" s="1"/>
  <c r="N50" i="1" s="1"/>
  <c r="K68" i="1"/>
  <c r="M68" i="1" s="1"/>
  <c r="N68" i="1" s="1"/>
  <c r="K62" i="1"/>
  <c r="M62" i="1" s="1"/>
  <c r="N62" i="1" s="1"/>
  <c r="K71" i="1"/>
  <c r="M71" i="1" s="1"/>
  <c r="N71" i="1" s="1"/>
  <c r="K51" i="1"/>
  <c r="M51" i="1" s="1"/>
  <c r="N51" i="1" s="1"/>
  <c r="K57" i="1"/>
  <c r="M57" i="1" s="1"/>
  <c r="N57" i="1" s="1"/>
  <c r="K74" i="1"/>
  <c r="M74" i="1" s="1"/>
  <c r="N74" i="1" s="1"/>
  <c r="K72" i="1"/>
  <c r="M72" i="1" s="1"/>
  <c r="N72" i="1" s="1"/>
  <c r="K76" i="1"/>
  <c r="M76" i="1" s="1"/>
  <c r="N76" i="1" s="1"/>
  <c r="K48" i="1"/>
  <c r="M48" i="1" s="1"/>
  <c r="N48" i="1" s="1"/>
  <c r="K52" i="1"/>
  <c r="M52" i="1" s="1"/>
  <c r="N52" i="1" s="1"/>
  <c r="K53" i="1"/>
  <c r="M53" i="1" s="1"/>
  <c r="N53" i="1" s="1"/>
  <c r="K66" i="1"/>
  <c r="M66" i="1" s="1"/>
  <c r="N66" i="1" s="1"/>
  <c r="K69" i="1"/>
  <c r="M69" i="1" s="1"/>
  <c r="N69" i="1" s="1"/>
  <c r="K60" i="1"/>
  <c r="M60" i="1" s="1"/>
  <c r="N60" i="1" s="1"/>
  <c r="K73" i="1"/>
  <c r="M73" i="1" s="1"/>
  <c r="N73" i="1" s="1"/>
  <c r="K55" i="1"/>
  <c r="M55" i="1" s="1"/>
  <c r="N55" i="1" s="1"/>
  <c r="K78" i="1"/>
  <c r="M78" i="1" s="1"/>
  <c r="N78" i="1" s="1"/>
  <c r="K75" i="1"/>
  <c r="M75" i="1" s="1"/>
  <c r="N75" i="1" s="1"/>
  <c r="K70" i="1"/>
  <c r="M70" i="1" s="1"/>
  <c r="N70" i="1" s="1"/>
  <c r="K61" i="1"/>
  <c r="M61" i="1" s="1"/>
  <c r="N61" i="1" s="1"/>
  <c r="K65" i="1"/>
  <c r="M65" i="1" s="1"/>
  <c r="N65" i="1" s="1"/>
  <c r="K64" i="1"/>
  <c r="M64" i="1" s="1"/>
  <c r="N64" i="1" s="1"/>
</calcChain>
</file>

<file path=xl/sharedStrings.xml><?xml version="1.0" encoding="utf-8"?>
<sst xmlns="http://schemas.openxmlformats.org/spreadsheetml/2006/main" count="120" uniqueCount="100">
  <si>
    <t xml:space="preserve">DATOS BASICOS                                           </t>
  </si>
  <si>
    <t xml:space="preserve">Para el cálculo de días pagados                         </t>
  </si>
  <si>
    <t>días</t>
  </si>
  <si>
    <t>Días no laborables por costumbre</t>
  </si>
  <si>
    <t>25 de Abril</t>
  </si>
  <si>
    <t>10 de Mayo</t>
  </si>
  <si>
    <t>15 de Agosto</t>
  </si>
  <si>
    <t>12 de Diciembre</t>
  </si>
  <si>
    <t>Sábado Santo</t>
  </si>
  <si>
    <t xml:space="preserve">Art. 87 Ley Federal del Trabajo Días Aguinaldo </t>
  </si>
  <si>
    <t xml:space="preserve">Art. 80 Ley Federal del Trabajo Prima vacacional    </t>
  </si>
  <si>
    <t xml:space="preserve">        Días no laborables según contrato colectivo  </t>
  </si>
  <si>
    <t xml:space="preserve">        Días Sindicato </t>
  </si>
  <si>
    <t xml:space="preserve">        Condiciones Climat. (Lluvias y otros) </t>
  </si>
  <si>
    <t xml:space="preserve">        Otros Días no trabajados por costumbre           </t>
  </si>
  <si>
    <t>Dias no laborados</t>
  </si>
  <si>
    <t>Días Calendario  (DC)</t>
  </si>
  <si>
    <t>Total días no Laborados (DNL)</t>
  </si>
  <si>
    <t>Días Laborados (Tl = DC - DNL)</t>
  </si>
  <si>
    <t>Días Realmente pagados (Tp)</t>
  </si>
  <si>
    <t>Tp/Tl   (FRS por Ley Federal del Trabajo)</t>
  </si>
  <si>
    <t>No.</t>
  </si>
  <si>
    <t>Categoría</t>
  </si>
  <si>
    <t>Salario Mínimo</t>
  </si>
  <si>
    <t>ALBAÑIL, OFICIAL</t>
  </si>
  <si>
    <t>ALUMINERO (Albañil) OFICIAL</t>
  </si>
  <si>
    <t>AYUDANTE ESPECIALIZADO (Peon)</t>
  </si>
  <si>
    <t>AYUDANTE GENERAL (Peon)</t>
  </si>
  <si>
    <t>AZULEJERO, OFICIAL</t>
  </si>
  <si>
    <t>CANTERERO (Albañil), OFICIAL</t>
  </si>
  <si>
    <t>CARPINTERO DE OBRA NEGRA, OFICIAL</t>
  </si>
  <si>
    <t>CARPINTERO EN FABRICACION   Y REPARACION DE MUEBLES, OFICIAL</t>
  </si>
  <si>
    <t>CHOFER DE CAMION</t>
  </si>
  <si>
    <t>CHOFER DE CAMIONETA DE CARGA</t>
  </si>
  <si>
    <t>ELECT. LINERO (Of. Electricista), OFICIAL</t>
  </si>
  <si>
    <t>ELECTRICISTA MEDIA Y ALTA TENSION (Electricista), OFICIAL</t>
  </si>
  <si>
    <t>ELECTRICISTA OFICIAL</t>
  </si>
  <si>
    <t>ENCARGADO DE BODEGA Y/O ALMACEN</t>
  </si>
  <si>
    <t>FIERRERO OBRA NEGRA (Albañil), OFICIAL</t>
  </si>
  <si>
    <t>HERRERO, OFICIAL</t>
  </si>
  <si>
    <t>JARDINERO (Peon)</t>
  </si>
  <si>
    <t>OPERADOR DE EQUIPO PESADO</t>
  </si>
  <si>
    <t>OPERADOR DE GRUA</t>
  </si>
  <si>
    <t>OPERADOR DE MOTOCOMFORMADORA</t>
  </si>
  <si>
    <t>PEON</t>
  </si>
  <si>
    <t>PINTOR, OFICIAL</t>
  </si>
  <si>
    <t>PLOMERO, OFICIAL</t>
  </si>
  <si>
    <t>RESTAURADOR ALBAÑIL (Albañil)</t>
  </si>
  <si>
    <t>RESTAURADOR PINTOR (Albañil)</t>
  </si>
  <si>
    <t>SOLDADOR CALIFICADO (soldador), OFICIAL</t>
  </si>
  <si>
    <t>SOLDADOR OFICIAL</t>
  </si>
  <si>
    <t>TABLAROQUERO (Albañil), OFICIAL</t>
  </si>
  <si>
    <t>TOPOGRAFO (Albañil), OFICIAL</t>
  </si>
  <si>
    <t>VELADOR</t>
  </si>
  <si>
    <t>VIDRIERO (Albañil), OFICIAL</t>
  </si>
  <si>
    <t>YESERO, OFICIAL</t>
  </si>
  <si>
    <t>S. Mínimo días equivalentes</t>
  </si>
  <si>
    <t>Factor de Demanda</t>
  </si>
  <si>
    <t>S. Base días equivalentes</t>
  </si>
  <si>
    <t>Porcentaje de cesantía y vejez</t>
  </si>
  <si>
    <t>Base de calculo (SB)</t>
  </si>
  <si>
    <t>Pres. en especie fija (1.A) A (SB)</t>
  </si>
  <si>
    <t>Prestación en esp. Adicional (2.A) A (SB)</t>
  </si>
  <si>
    <t>Prestaciones de Seguridad Social</t>
  </si>
  <si>
    <t>Rubros del Seguro Social e INFONAVIT</t>
  </si>
  <si>
    <t>Datos Generales</t>
  </si>
  <si>
    <t>Concepto</t>
  </si>
  <si>
    <t>Porcentaje</t>
  </si>
  <si>
    <t>Base de Calculo</t>
  </si>
  <si>
    <t>Condicionante</t>
  </si>
  <si>
    <t>Enfermedad y Maternidad</t>
  </si>
  <si>
    <t>Valor de la Unidad de Medida y Actualización (2024):</t>
  </si>
  <si>
    <t>Prest. En Especie Fija</t>
  </si>
  <si>
    <t>UMA</t>
  </si>
  <si>
    <t>Salario Mínimo General area geográfica del resto del país</t>
  </si>
  <si>
    <t>Prest. En Especie Adicional</t>
  </si>
  <si>
    <t>(SB-3*(UMA))</t>
  </si>
  <si>
    <t>Prest. En Dinero</t>
  </si>
  <si>
    <t>SB</t>
  </si>
  <si>
    <t>Prest. En Especie Pensionados</t>
  </si>
  <si>
    <t>Equivalencias</t>
  </si>
  <si>
    <t>Invalidez y Vida</t>
  </si>
  <si>
    <t>U.M.A.</t>
  </si>
  <si>
    <t>3* SMZU</t>
  </si>
  <si>
    <t>Guarderías</t>
  </si>
  <si>
    <t>Retiro</t>
  </si>
  <si>
    <t>Cesantía y Vejez</t>
  </si>
  <si>
    <t>SBC inferior</t>
  </si>
  <si>
    <t>SBC Superior</t>
  </si>
  <si>
    <t>Riesgo de Trabajo</t>
  </si>
  <si>
    <t>Infonavit</t>
  </si>
  <si>
    <t>F.S.R.</t>
  </si>
  <si>
    <t>SALARIO REAL
Por Jornada</t>
  </si>
  <si>
    <t>Salario Nominal</t>
  </si>
  <si>
    <t xml:space="preserve">Art. 69 y 73 Días de Descanso (Ley Federal del Trabajo)                 </t>
  </si>
  <si>
    <t xml:space="preserve">Art. 76, 78,79, 81 Días de vacaciones </t>
  </si>
  <si>
    <t xml:space="preserve">Art. 74 Dias Festivos oficiales (Ley Federal del Trabajo)    </t>
  </si>
  <si>
    <t xml:space="preserve">Ley Federal del Trabajo Enfermedad no profesional   </t>
  </si>
  <si>
    <t>factor</t>
  </si>
  <si>
    <t>1 o 2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</si>
</sst>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#,##0.00_ ;\-#,##0.00\ "/>
    <numFmt numFmtId="165" formatCode="#,##0.0000_ ;\-#,##0.0000\ "/>
    <numFmt numFmtId="166" formatCode="&quot;$&quot;#,##0.00"/>
    <numFmt numFmtId="167" formatCode="0.00000"/>
    <numFmt numFmtId="168" formatCode="0.000%"/>
    <numFmt numFmtId="169" formatCode="_-&quot;$&quot;* #,##0.00_-;\-&quot;$&quot;* #,##0.00_-;_-&quot;$&quot;* &quot;-&quot;??_-;_-@"/>
    <numFmt numFmtId="170" formatCode="0.0000%"/>
    <numFmt numFmtId="171" formatCode="0.00000%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rgb="FF424242"/>
      <name val="Arial Narrow"/>
      <family val="2"/>
    </font>
    <font>
      <sz val="10"/>
      <color theme="1"/>
      <name val="Arial Narrow"/>
      <family val="2"/>
    </font>
    <font>
      <b/>
      <sz val="10"/>
      <color rgb="FF424242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</font>
    <font>
      <sz val="10"/>
      <color theme="1"/>
      <name val="Arial"/>
      <family val="2"/>
    </font>
    <font>
      <b/>
      <sz val="7"/>
      <color theme="1"/>
      <name val="Arial"/>
      <family val="2"/>
    </font>
    <font>
      <sz val="9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6E3BC"/>
        <bgColor rgb="FFD6E3BC"/>
      </patternFill>
    </fill>
    <fill>
      <patternFill patternType="solid">
        <fgColor rgb="FFB6DDE8"/>
        <bgColor rgb="FFB6DDE8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6D9F0"/>
      </patternFill>
    </fill>
    <fill>
      <patternFill patternType="solid">
        <fgColor rgb="FFFFFF00"/>
        <bgColor rgb="FFD6E3BC"/>
      </patternFill>
    </fill>
  </fills>
  <borders count="2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medium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164" fontId="3" fillId="0" borderId="0" xfId="1" applyNumberFormat="1" applyFont="1"/>
    <xf numFmtId="0" fontId="2" fillId="0" borderId="0" xfId="0" applyFont="1" applyAlignment="1">
      <alignment horizontal="left" vertical="center" indent="3"/>
    </xf>
    <xf numFmtId="0" fontId="2" fillId="0" borderId="0" xfId="0" applyFont="1" applyAlignment="1">
      <alignment horizontal="left" vertical="center" indent="4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vertical="center"/>
    </xf>
    <xf numFmtId="0" fontId="5" fillId="0" borderId="0" xfId="0" applyFont="1"/>
    <xf numFmtId="0" fontId="7" fillId="3" borderId="1" xfId="0" applyFont="1" applyFill="1" applyBorder="1" applyAlignment="1" applyProtection="1">
      <alignment vertical="top" wrapText="1"/>
      <protection locked="0"/>
    </xf>
    <xf numFmtId="166" fontId="8" fillId="3" borderId="1" xfId="0" applyNumberFormat="1" applyFont="1" applyFill="1" applyBorder="1" applyAlignment="1" applyProtection="1">
      <alignment horizontal="center" vertical="top"/>
      <protection locked="0"/>
    </xf>
    <xf numFmtId="0" fontId="7" fillId="3" borderId="2" xfId="0" applyFont="1" applyFill="1" applyBorder="1" applyAlignment="1" applyProtection="1">
      <alignment vertical="top" wrapText="1"/>
      <protection locked="0"/>
    </xf>
    <xf numFmtId="166" fontId="8" fillId="3" borderId="2" xfId="0" applyNumberFormat="1" applyFont="1" applyFill="1" applyBorder="1" applyAlignment="1" applyProtection="1">
      <alignment horizontal="center" vertical="top"/>
      <protection locked="0"/>
    </xf>
    <xf numFmtId="4" fontId="7" fillId="0" borderId="1" xfId="0" applyNumberFormat="1" applyFont="1" applyBorder="1" applyAlignment="1">
      <alignment horizontal="center" vertical="top"/>
    </xf>
    <xf numFmtId="2" fontId="7" fillId="4" borderId="2" xfId="0" applyNumberFormat="1" applyFont="1" applyFill="1" applyBorder="1" applyAlignment="1" applyProtection="1">
      <alignment horizontal="center" vertical="top"/>
      <protection locked="0"/>
    </xf>
    <xf numFmtId="167" fontId="7" fillId="0" borderId="2" xfId="0" applyNumberFormat="1" applyFont="1" applyBorder="1" applyAlignment="1">
      <alignment horizontal="center" vertical="top"/>
    </xf>
    <xf numFmtId="168" fontId="7" fillId="0" borderId="2" xfId="0" applyNumberFormat="1" applyFont="1" applyBorder="1" applyAlignment="1">
      <alignment horizontal="center" vertical="top"/>
    </xf>
    <xf numFmtId="4" fontId="7" fillId="0" borderId="2" xfId="0" applyNumberFormat="1" applyFont="1" applyBorder="1" applyAlignment="1">
      <alignment horizontal="center" vertical="top"/>
    </xf>
    <xf numFmtId="0" fontId="9" fillId="0" borderId="0" xfId="0" applyFont="1"/>
    <xf numFmtId="0" fontId="12" fillId="0" borderId="15" xfId="0" applyFont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center" wrapText="1"/>
    </xf>
    <xf numFmtId="0" fontId="9" fillId="0" borderId="6" xfId="0" applyFont="1" applyBorder="1"/>
    <xf numFmtId="0" fontId="9" fillId="0" borderId="7" xfId="0" applyFont="1" applyBorder="1"/>
    <xf numFmtId="0" fontId="6" fillId="0" borderId="6" xfId="0" applyFont="1" applyBorder="1"/>
    <xf numFmtId="0" fontId="12" fillId="0" borderId="0" xfId="0" applyFont="1"/>
    <xf numFmtId="0" fontId="7" fillId="0" borderId="0" xfId="0" applyFont="1"/>
    <xf numFmtId="0" fontId="7" fillId="0" borderId="7" xfId="0" applyFont="1" applyBorder="1"/>
    <xf numFmtId="0" fontId="13" fillId="0" borderId="6" xfId="0" applyFont="1" applyBorder="1"/>
    <xf numFmtId="169" fontId="9" fillId="0" borderId="0" xfId="0" applyNumberFormat="1" applyFont="1"/>
    <xf numFmtId="0" fontId="7" fillId="0" borderId="6" xfId="0" applyFont="1" applyBorder="1" applyAlignment="1">
      <alignment horizontal="left"/>
    </xf>
    <xf numFmtId="170" fontId="7" fillId="0" borderId="0" xfId="0" applyNumberFormat="1" applyFont="1"/>
    <xf numFmtId="2" fontId="9" fillId="0" borderId="0" xfId="0" applyNumberFormat="1" applyFont="1"/>
    <xf numFmtId="167" fontId="9" fillId="0" borderId="7" xfId="0" applyNumberFormat="1" applyFont="1" applyBorder="1"/>
    <xf numFmtId="2" fontId="7" fillId="0" borderId="0" xfId="0" applyNumberFormat="1" applyFont="1"/>
    <xf numFmtId="167" fontId="7" fillId="0" borderId="0" xfId="0" applyNumberFormat="1" applyFont="1"/>
    <xf numFmtId="2" fontId="7" fillId="0" borderId="6" xfId="0" applyNumberFormat="1" applyFont="1" applyBorder="1" applyAlignment="1">
      <alignment horizontal="left"/>
    </xf>
    <xf numFmtId="2" fontId="7" fillId="0" borderId="8" xfId="0" applyNumberFormat="1" applyFont="1" applyBorder="1" applyAlignment="1">
      <alignment horizontal="left"/>
    </xf>
    <xf numFmtId="2" fontId="7" fillId="0" borderId="9" xfId="0" applyNumberFormat="1" applyFont="1" applyBorder="1"/>
    <xf numFmtId="10" fontId="7" fillId="0" borderId="10" xfId="0" applyNumberFormat="1" applyFont="1" applyBorder="1"/>
    <xf numFmtId="0" fontId="6" fillId="0" borderId="0" xfId="0" applyFont="1" applyAlignment="1">
      <alignment horizontal="center"/>
    </xf>
    <xf numFmtId="2" fontId="7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168" fontId="7" fillId="0" borderId="0" xfId="0" applyNumberFormat="1" applyFont="1"/>
    <xf numFmtId="2" fontId="6" fillId="0" borderId="0" xfId="0" applyNumberFormat="1" applyFont="1" applyAlignment="1">
      <alignment horizontal="right"/>
    </xf>
    <xf numFmtId="2" fontId="6" fillId="0" borderId="0" xfId="0" applyNumberFormat="1" applyFont="1" applyAlignment="1">
      <alignment horizontal="left"/>
    </xf>
    <xf numFmtId="171" fontId="7" fillId="0" borderId="0" xfId="0" applyNumberFormat="1" applyFont="1"/>
    <xf numFmtId="0" fontId="7" fillId="0" borderId="8" xfId="0" applyFont="1" applyBorder="1" applyAlignment="1">
      <alignment horizontal="left"/>
    </xf>
    <xf numFmtId="0" fontId="12" fillId="0" borderId="9" xfId="0" applyFont="1" applyBorder="1"/>
    <xf numFmtId="170" fontId="7" fillId="0" borderId="9" xfId="0" applyNumberFormat="1" applyFont="1" applyBorder="1"/>
    <xf numFmtId="0" fontId="7" fillId="0" borderId="9" xfId="0" applyFont="1" applyBorder="1"/>
    <xf numFmtId="0" fontId="7" fillId="0" borderId="10" xfId="0" applyFont="1" applyBorder="1"/>
    <xf numFmtId="0" fontId="11" fillId="0" borderId="6" xfId="0" applyFont="1" applyBorder="1"/>
    <xf numFmtId="0" fontId="11" fillId="0" borderId="7" xfId="0" applyFont="1" applyBorder="1"/>
    <xf numFmtId="0" fontId="6" fillId="5" borderId="14" xfId="0" applyFont="1" applyFill="1" applyBorder="1" applyAlignment="1">
      <alignment horizontal="center" vertical="center" wrapText="1"/>
    </xf>
    <xf numFmtId="0" fontId="11" fillId="0" borderId="15" xfId="0" applyFont="1" applyBorder="1"/>
    <xf numFmtId="0" fontId="7" fillId="0" borderId="6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7" xfId="0" applyFont="1" applyBorder="1" applyAlignment="1">
      <alignment horizontal="right" vertical="center"/>
    </xf>
    <xf numFmtId="166" fontId="8" fillId="0" borderId="1" xfId="0" applyNumberFormat="1" applyFont="1" applyBorder="1" applyAlignment="1" applyProtection="1">
      <alignment horizontal="center" vertical="top"/>
      <protection locked="0"/>
    </xf>
    <xf numFmtId="4" fontId="6" fillId="2" borderId="17" xfId="0" applyNumberFormat="1" applyFont="1" applyFill="1" applyBorder="1" applyAlignment="1">
      <alignment horizontal="center" vertical="center" wrapText="1"/>
    </xf>
    <xf numFmtId="4" fontId="6" fillId="2" borderId="18" xfId="0" applyNumberFormat="1" applyFont="1" applyFill="1" applyBorder="1" applyAlignment="1">
      <alignment horizontal="center" vertical="center" wrapText="1"/>
    </xf>
    <xf numFmtId="4" fontId="6" fillId="2" borderId="19" xfId="0" applyNumberFormat="1" applyFont="1" applyFill="1" applyBorder="1" applyAlignment="1">
      <alignment horizontal="center" vertical="center" wrapText="1"/>
    </xf>
    <xf numFmtId="4" fontId="6" fillId="2" borderId="20" xfId="0" applyNumberFormat="1" applyFont="1" applyFill="1" applyBorder="1" applyAlignment="1">
      <alignment horizontal="center" vertical="center" wrapText="1"/>
    </xf>
    <xf numFmtId="0" fontId="7" fillId="3" borderId="21" xfId="0" applyFont="1" applyFill="1" applyBorder="1" applyAlignment="1" applyProtection="1">
      <alignment horizontal="center" vertical="top"/>
      <protection locked="0"/>
    </xf>
    <xf numFmtId="166" fontId="8" fillId="0" borderId="22" xfId="0" applyNumberFormat="1" applyFont="1" applyBorder="1" applyAlignment="1" applyProtection="1">
      <alignment horizontal="center" vertical="top"/>
      <protection locked="0"/>
    </xf>
    <xf numFmtId="0" fontId="7" fillId="3" borderId="23" xfId="0" applyFont="1" applyFill="1" applyBorder="1" applyAlignment="1" applyProtection="1">
      <alignment horizontal="center" vertical="top"/>
      <protection locked="0"/>
    </xf>
    <xf numFmtId="0" fontId="7" fillId="3" borderId="24" xfId="0" applyFont="1" applyFill="1" applyBorder="1" applyAlignment="1" applyProtection="1">
      <alignment horizontal="center" vertical="top"/>
      <protection locked="0"/>
    </xf>
    <xf numFmtId="0" fontId="7" fillId="3" borderId="25" xfId="0" applyFont="1" applyFill="1" applyBorder="1" applyAlignment="1" applyProtection="1">
      <alignment vertical="top" wrapText="1"/>
      <protection locked="0"/>
    </xf>
    <xf numFmtId="166" fontId="8" fillId="3" borderId="25" xfId="0" applyNumberFormat="1" applyFont="1" applyFill="1" applyBorder="1" applyAlignment="1" applyProtection="1">
      <alignment horizontal="center" vertical="top"/>
      <protection locked="0"/>
    </xf>
    <xf numFmtId="4" fontId="7" fillId="0" borderId="25" xfId="0" applyNumberFormat="1" applyFont="1" applyBorder="1" applyAlignment="1">
      <alignment horizontal="center" vertical="top"/>
    </xf>
    <xf numFmtId="2" fontId="7" fillId="4" borderId="25" xfId="0" applyNumberFormat="1" applyFont="1" applyFill="1" applyBorder="1" applyAlignment="1" applyProtection="1">
      <alignment horizontal="center" vertical="top"/>
      <protection locked="0"/>
    </xf>
    <xf numFmtId="167" fontId="7" fillId="0" borderId="25" xfId="0" applyNumberFormat="1" applyFont="1" applyBorder="1" applyAlignment="1">
      <alignment horizontal="center" vertical="top"/>
    </xf>
    <xf numFmtId="168" fontId="7" fillId="0" borderId="25" xfId="0" applyNumberFormat="1" applyFont="1" applyBorder="1" applyAlignment="1">
      <alignment horizontal="center" vertical="top"/>
    </xf>
    <xf numFmtId="164" fontId="3" fillId="6" borderId="0" xfId="1" applyNumberFormat="1" applyFont="1" applyFill="1"/>
    <xf numFmtId="164" fontId="5" fillId="6" borderId="0" xfId="1" applyNumberFormat="1" applyFont="1" applyFill="1"/>
    <xf numFmtId="169" fontId="6" fillId="6" borderId="7" xfId="0" applyNumberFormat="1" applyFont="1" applyFill="1" applyBorder="1" applyAlignment="1">
      <alignment horizontal="center"/>
    </xf>
    <xf numFmtId="169" fontId="6" fillId="7" borderId="7" xfId="0" applyNumberFormat="1" applyFont="1" applyFill="1" applyBorder="1" applyAlignment="1" applyProtection="1">
      <alignment horizontal="center"/>
      <protection locked="0"/>
    </xf>
    <xf numFmtId="165" fontId="5" fillId="6" borderId="0" xfId="1" applyNumberFormat="1" applyFont="1" applyFill="1"/>
    <xf numFmtId="171" fontId="14" fillId="8" borderId="0" xfId="0" applyNumberFormat="1" applyFont="1" applyFill="1" applyProtection="1">
      <protection locked="0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167640</xdr:colOff>
      <xdr:row>34</xdr:row>
      <xdr:rowOff>16018</xdr:rowOff>
    </xdr:from>
    <xdr:to>
      <xdr:col>11</xdr:col>
      <xdr:colOff>640081</xdr:colOff>
      <xdr:row>42</xdr:row>
      <xdr:rowOff>131232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8272AAF-8751-45D5-B4D6-F5A627E909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t="3462" r="63560" b="7516"/>
        <a:stretch/>
      </xdr:blipFill>
      <xdr:spPr>
        <a:xfrm>
          <a:off x="10264140" y="6256798"/>
          <a:ext cx="1264921" cy="15172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78"/>
  <sheetViews>
    <sheetView tabSelected="1" topLeftCell="A42" zoomScale="77" workbookViewId="0">
      <selection activeCell="C27" sqref="C27"/>
    </sheetView>
  </sheetViews>
  <sheetFormatPr baseColWidth="10" defaultColWidth="11.5546875" defaultRowHeight="13.8" x14ac:dyDescent="0.3"/>
  <cols>
    <col min="1" max="1" width="11.5546875" style="2"/>
    <col min="2" max="2" width="43.21875" style="2" customWidth="1"/>
    <col min="3" max="3" width="11.5546875" style="3"/>
    <col min="4" max="16384" width="11.5546875" style="2"/>
  </cols>
  <sheetData>
    <row r="1" spans="1:7" x14ac:dyDescent="0.3">
      <c r="A1" s="8" t="s">
        <v>0</v>
      </c>
    </row>
    <row r="2" spans="1:7" x14ac:dyDescent="0.3">
      <c r="B2" s="8" t="s">
        <v>1</v>
      </c>
    </row>
    <row r="3" spans="1:7" x14ac:dyDescent="0.3">
      <c r="B3" s="4" t="s">
        <v>16</v>
      </c>
      <c r="C3" s="77">
        <v>365</v>
      </c>
      <c r="D3" s="2" t="s">
        <v>2</v>
      </c>
    </row>
    <row r="4" spans="1:7" x14ac:dyDescent="0.3">
      <c r="B4" s="4" t="s">
        <v>9</v>
      </c>
      <c r="C4" s="77">
        <v>15</v>
      </c>
      <c r="D4" s="2" t="s">
        <v>2</v>
      </c>
    </row>
    <row r="5" spans="1:7" x14ac:dyDescent="0.3">
      <c r="B5" s="4" t="s">
        <v>10</v>
      </c>
      <c r="C5" s="77">
        <f>12*0.25</f>
        <v>3</v>
      </c>
      <c r="D5" s="2" t="s">
        <v>2</v>
      </c>
    </row>
    <row r="6" spans="1:7" x14ac:dyDescent="0.3">
      <c r="B6" s="9" t="s">
        <v>19</v>
      </c>
      <c r="C6" s="78">
        <f>SUM(C3:C5)</f>
        <v>383</v>
      </c>
      <c r="D6" s="9" t="s">
        <v>2</v>
      </c>
    </row>
    <row r="8" spans="1:7" x14ac:dyDescent="0.3">
      <c r="B8" s="2" t="s">
        <v>15</v>
      </c>
    </row>
    <row r="9" spans="1:7" x14ac:dyDescent="0.3">
      <c r="B9" s="4" t="s">
        <v>94</v>
      </c>
      <c r="C9" s="77">
        <v>52</v>
      </c>
      <c r="D9" s="2" t="s">
        <v>2</v>
      </c>
    </row>
    <row r="10" spans="1:7" x14ac:dyDescent="0.3">
      <c r="B10" s="4" t="s">
        <v>95</v>
      </c>
      <c r="C10" s="77">
        <v>12</v>
      </c>
      <c r="D10" s="2" t="s">
        <v>2</v>
      </c>
    </row>
    <row r="11" spans="1:7" x14ac:dyDescent="0.3">
      <c r="B11" s="4" t="s">
        <v>96</v>
      </c>
      <c r="C11" s="77">
        <v>8</v>
      </c>
      <c r="D11" s="2" t="s">
        <v>2</v>
      </c>
    </row>
    <row r="12" spans="1:7" x14ac:dyDescent="0.3">
      <c r="B12" s="1" t="s">
        <v>11</v>
      </c>
      <c r="C12" s="77">
        <v>0</v>
      </c>
      <c r="D12" s="2" t="s">
        <v>2</v>
      </c>
    </row>
    <row r="13" spans="1:7" x14ac:dyDescent="0.3">
      <c r="B13" s="1" t="s">
        <v>12</v>
      </c>
      <c r="C13" s="77">
        <v>0</v>
      </c>
      <c r="D13" s="2" t="s">
        <v>2</v>
      </c>
      <c r="F13" s="2" t="s">
        <v>3</v>
      </c>
    </row>
    <row r="14" spans="1:7" x14ac:dyDescent="0.3">
      <c r="B14" s="5" t="s">
        <v>97</v>
      </c>
      <c r="C14" s="77">
        <v>0</v>
      </c>
      <c r="D14" s="2" t="s">
        <v>2</v>
      </c>
      <c r="F14" s="2">
        <v>1</v>
      </c>
      <c r="G14" s="2" t="s">
        <v>8</v>
      </c>
    </row>
    <row r="15" spans="1:7" x14ac:dyDescent="0.3">
      <c r="B15" s="1" t="s">
        <v>13</v>
      </c>
      <c r="C15" s="77">
        <v>9</v>
      </c>
      <c r="D15" s="2" t="s">
        <v>2</v>
      </c>
      <c r="F15" s="2">
        <v>2</v>
      </c>
      <c r="G15" s="6" t="s">
        <v>4</v>
      </c>
    </row>
    <row r="16" spans="1:7" x14ac:dyDescent="0.3">
      <c r="B16" s="1" t="s">
        <v>14</v>
      </c>
      <c r="C16" s="77">
        <v>6</v>
      </c>
      <c r="D16" s="2" t="s">
        <v>2</v>
      </c>
      <c r="F16" s="2">
        <v>3</v>
      </c>
      <c r="G16" s="7" t="s">
        <v>5</v>
      </c>
    </row>
    <row r="17" spans="1:12" x14ac:dyDescent="0.3">
      <c r="B17" s="9" t="s">
        <v>17</v>
      </c>
      <c r="C17" s="78">
        <f>SUM(C9:C16)</f>
        <v>87</v>
      </c>
      <c r="D17" s="9" t="s">
        <v>2</v>
      </c>
      <c r="F17" s="2">
        <v>4</v>
      </c>
      <c r="G17" s="7" t="s">
        <v>6</v>
      </c>
    </row>
    <row r="18" spans="1:12" x14ac:dyDescent="0.3">
      <c r="F18" s="2">
        <v>5</v>
      </c>
      <c r="G18" s="2" t="s">
        <v>99</v>
      </c>
    </row>
    <row r="19" spans="1:12" x14ac:dyDescent="0.3">
      <c r="B19" s="2" t="s">
        <v>18</v>
      </c>
      <c r="C19" s="77">
        <f>365-C17</f>
        <v>278</v>
      </c>
      <c r="D19" s="2" t="s">
        <v>2</v>
      </c>
      <c r="F19" s="2">
        <v>6</v>
      </c>
      <c r="G19" s="7" t="s">
        <v>7</v>
      </c>
    </row>
    <row r="21" spans="1:12" x14ac:dyDescent="0.3">
      <c r="B21" s="9" t="s">
        <v>20</v>
      </c>
      <c r="C21" s="81">
        <f>C6/C19</f>
        <v>1.3776978417266188</v>
      </c>
      <c r="D21" s="2" t="s">
        <v>98</v>
      </c>
    </row>
    <row r="23" spans="1:12" ht="14.4" thickBot="1" x14ac:dyDescent="0.35"/>
    <row r="24" spans="1:12" ht="13.8" customHeight="1" thickBot="1" x14ac:dyDescent="0.35">
      <c r="F24" s="83" t="s">
        <v>64</v>
      </c>
      <c r="G24" s="84"/>
      <c r="H24" s="84"/>
      <c r="I24" s="84"/>
      <c r="J24" s="84"/>
      <c r="K24" s="84"/>
      <c r="L24" s="85"/>
    </row>
    <row r="25" spans="1:12" ht="21" thickBot="1" x14ac:dyDescent="0.35">
      <c r="A25" s="86" t="s">
        <v>65</v>
      </c>
      <c r="B25" s="87"/>
      <c r="C25" s="88"/>
      <c r="E25" s="19"/>
      <c r="F25" s="57" t="s">
        <v>66</v>
      </c>
      <c r="G25" s="58"/>
      <c r="H25" s="20"/>
      <c r="I25" s="21" t="s">
        <v>67</v>
      </c>
      <c r="J25" s="22"/>
      <c r="K25" s="21" t="s">
        <v>68</v>
      </c>
      <c r="L25" s="23" t="s">
        <v>69</v>
      </c>
    </row>
    <row r="26" spans="1:12" x14ac:dyDescent="0.3">
      <c r="A26" s="24"/>
      <c r="B26" s="19"/>
      <c r="C26" s="25"/>
      <c r="E26" s="19"/>
      <c r="F26" s="26" t="s">
        <v>70</v>
      </c>
      <c r="G26" s="27"/>
      <c r="H26" s="27"/>
      <c r="I26" s="28"/>
      <c r="J26" s="28"/>
      <c r="K26" s="28"/>
      <c r="L26" s="29"/>
    </row>
    <row r="27" spans="1:12" x14ac:dyDescent="0.3">
      <c r="A27" s="30" t="s">
        <v>71</v>
      </c>
      <c r="B27" s="19"/>
      <c r="C27" s="79">
        <v>108.57</v>
      </c>
      <c r="E27" s="31"/>
      <c r="F27" s="32" t="s">
        <v>72</v>
      </c>
      <c r="G27" s="27"/>
      <c r="H27" s="27"/>
      <c r="I27" s="33">
        <v>0.20399999999999999</v>
      </c>
      <c r="J27" s="33"/>
      <c r="K27" s="28" t="s">
        <v>73</v>
      </c>
      <c r="L27" s="29">
        <v>1</v>
      </c>
    </row>
    <row r="28" spans="1:12" x14ac:dyDescent="0.3">
      <c r="A28" s="30" t="s">
        <v>74</v>
      </c>
      <c r="B28" s="19"/>
      <c r="C28" s="80">
        <v>248.9</v>
      </c>
      <c r="E28" s="31"/>
      <c r="F28" s="32" t="s">
        <v>75</v>
      </c>
      <c r="G28" s="27"/>
      <c r="H28" s="27"/>
      <c r="I28" s="33">
        <v>1.0999999999999999E-2</v>
      </c>
      <c r="J28" s="33"/>
      <c r="K28" s="28" t="s">
        <v>76</v>
      </c>
      <c r="L28" s="29">
        <v>3</v>
      </c>
    </row>
    <row r="29" spans="1:12" x14ac:dyDescent="0.3">
      <c r="A29" s="30" t="s">
        <v>80</v>
      </c>
      <c r="B29" s="19"/>
      <c r="C29" s="25"/>
      <c r="E29" s="19"/>
      <c r="F29" s="32" t="s">
        <v>77</v>
      </c>
      <c r="G29" s="27"/>
      <c r="H29" s="27"/>
      <c r="I29" s="33">
        <v>7.0000000000000001E-3</v>
      </c>
      <c r="J29" s="33"/>
      <c r="K29" s="28" t="s">
        <v>78</v>
      </c>
      <c r="L29" s="29">
        <v>2</v>
      </c>
    </row>
    <row r="30" spans="1:12" x14ac:dyDescent="0.3">
      <c r="A30" s="24"/>
      <c r="B30" s="34" t="s">
        <v>82</v>
      </c>
      <c r="C30" s="35">
        <f>ROUND(C27/C28,6)</f>
        <v>0.436199</v>
      </c>
      <c r="E30" s="19"/>
      <c r="F30" s="32" t="s">
        <v>79</v>
      </c>
      <c r="G30" s="27"/>
      <c r="H30" s="27"/>
      <c r="I30" s="33">
        <v>1.0500000000000001E-2</v>
      </c>
      <c r="J30" s="33"/>
      <c r="K30" s="28" t="s">
        <v>78</v>
      </c>
      <c r="L30" s="29">
        <v>2</v>
      </c>
    </row>
    <row r="31" spans="1:12" x14ac:dyDescent="0.3">
      <c r="A31" s="24"/>
      <c r="B31" s="34" t="s">
        <v>83</v>
      </c>
      <c r="C31" s="35">
        <f>ROUND(C30*3,6)</f>
        <v>1.308597</v>
      </c>
      <c r="E31" s="19"/>
      <c r="F31" s="32" t="s">
        <v>81</v>
      </c>
      <c r="G31" s="27"/>
      <c r="H31" s="27"/>
      <c r="I31" s="33">
        <v>1.7500000000000002E-2</v>
      </c>
      <c r="J31" s="33"/>
      <c r="K31" s="28" t="s">
        <v>78</v>
      </c>
      <c r="L31" s="29">
        <v>2</v>
      </c>
    </row>
    <row r="32" spans="1:12" ht="14.4" thickBot="1" x14ac:dyDescent="0.35">
      <c r="A32" s="39"/>
      <c r="B32" s="40"/>
      <c r="C32" s="41"/>
      <c r="E32" s="19"/>
      <c r="F32" s="32" t="s">
        <v>84</v>
      </c>
      <c r="G32" s="27"/>
      <c r="H32" s="27"/>
      <c r="I32" s="33">
        <v>0.01</v>
      </c>
      <c r="J32" s="33"/>
      <c r="K32" s="28" t="s">
        <v>78</v>
      </c>
      <c r="L32" s="29">
        <v>2</v>
      </c>
    </row>
    <row r="33" spans="1:14" x14ac:dyDescent="0.3">
      <c r="A33" s="38"/>
      <c r="B33" s="36"/>
      <c r="C33" s="2"/>
      <c r="E33" s="19"/>
      <c r="F33" s="32" t="s">
        <v>85</v>
      </c>
      <c r="G33" s="27"/>
      <c r="H33" s="27"/>
      <c r="I33" s="33">
        <v>0.02</v>
      </c>
      <c r="J33" s="33"/>
      <c r="K33" s="28" t="s">
        <v>78</v>
      </c>
      <c r="L33" s="29">
        <v>2</v>
      </c>
    </row>
    <row r="34" spans="1:14" x14ac:dyDescent="0.3">
      <c r="E34" s="19"/>
      <c r="F34" s="59" t="s">
        <v>86</v>
      </c>
      <c r="G34" s="42" t="s">
        <v>87</v>
      </c>
      <c r="H34" s="42" t="s">
        <v>88</v>
      </c>
      <c r="I34" s="42">
        <v>2024</v>
      </c>
      <c r="J34" s="33"/>
      <c r="K34" s="60" t="s">
        <v>78</v>
      </c>
      <c r="L34" s="61">
        <v>2</v>
      </c>
    </row>
    <row r="35" spans="1:14" ht="13.8" customHeight="1" x14ac:dyDescent="0.3">
      <c r="A35" s="43"/>
      <c r="B35" s="36"/>
      <c r="C35" s="36"/>
      <c r="D35" s="44"/>
      <c r="E35" s="19"/>
      <c r="F35" s="55"/>
      <c r="G35" s="45">
        <f>+C28/C28</f>
        <v>1</v>
      </c>
      <c r="H35" s="45">
        <f>+C28/C28</f>
        <v>1</v>
      </c>
      <c r="I35" s="46">
        <v>3.15E-2</v>
      </c>
      <c r="J35" s="33"/>
      <c r="K35"/>
      <c r="L35" s="56"/>
    </row>
    <row r="36" spans="1:14" ht="13.8" customHeight="1" x14ac:dyDescent="0.3">
      <c r="A36" s="43"/>
      <c r="B36" s="36"/>
      <c r="C36" s="36"/>
      <c r="D36" s="19"/>
      <c r="E36" s="19"/>
      <c r="F36" s="55"/>
      <c r="G36" s="45">
        <f>+C28*1.01/C28</f>
        <v>1.01</v>
      </c>
      <c r="H36" s="45">
        <f>+$C$27*1.5/$C$28</f>
        <v>0.65429891522699879</v>
      </c>
      <c r="I36" s="46">
        <v>3.4130000000000001E-2</v>
      </c>
      <c r="J36" s="33"/>
      <c r="K36"/>
      <c r="L36" s="56"/>
    </row>
    <row r="37" spans="1:14" ht="13.8" customHeight="1" x14ac:dyDescent="0.3">
      <c r="A37" s="43"/>
      <c r="B37" s="36"/>
      <c r="C37" s="36"/>
      <c r="D37" s="19"/>
      <c r="E37" s="19"/>
      <c r="F37" s="55"/>
      <c r="G37" s="45">
        <f>+$C$27*1.51/$C$28</f>
        <v>0.65866090799517873</v>
      </c>
      <c r="H37" s="45">
        <f>+$C$27*2/$C$28</f>
        <v>0.87239855363599828</v>
      </c>
      <c r="I37" s="46">
        <v>0.04</v>
      </c>
      <c r="J37" s="33"/>
      <c r="K37"/>
      <c r="L37" s="56"/>
    </row>
    <row r="38" spans="1:14" ht="13.8" customHeight="1" x14ac:dyDescent="0.3">
      <c r="A38" s="43"/>
      <c r="B38" s="36"/>
      <c r="C38" s="36"/>
      <c r="D38" s="19"/>
      <c r="E38" s="19"/>
      <c r="F38" s="55"/>
      <c r="G38" s="45">
        <f>+$C$27*2.01/$C$28</f>
        <v>0.87676054640417822</v>
      </c>
      <c r="H38" s="45">
        <f>+$C$27*2.5/$C$28</f>
        <v>1.0904981920449979</v>
      </c>
      <c r="I38" s="46">
        <v>4.3529999999999999E-2</v>
      </c>
      <c r="J38" s="33"/>
      <c r="K38"/>
      <c r="L38" s="56"/>
    </row>
    <row r="39" spans="1:14" ht="13.8" customHeight="1" x14ac:dyDescent="0.3">
      <c r="A39" s="43"/>
      <c r="B39" s="36"/>
      <c r="C39" s="36"/>
      <c r="D39" s="19"/>
      <c r="E39" s="19"/>
      <c r="F39" s="55"/>
      <c r="G39" s="45">
        <f>+$C$27*2.51/$C$28</f>
        <v>1.0948601848131778</v>
      </c>
      <c r="H39" s="45">
        <f>+$C$27*3/$C$28</f>
        <v>1.3085978304539976</v>
      </c>
      <c r="I39" s="46">
        <v>4.5879999999999997E-2</v>
      </c>
      <c r="J39" s="33"/>
      <c r="K39"/>
      <c r="L39" s="56"/>
    </row>
    <row r="40" spans="1:14" ht="13.8" customHeight="1" x14ac:dyDescent="0.3">
      <c r="A40" s="43"/>
      <c r="B40" s="36"/>
      <c r="C40" s="36"/>
      <c r="D40" s="19"/>
      <c r="E40" s="19"/>
      <c r="F40" s="55"/>
      <c r="G40" s="45">
        <f>+$C$27*3.01/$C$28</f>
        <v>1.3129598232221773</v>
      </c>
      <c r="H40" s="45">
        <f>+$C$27*3.5/$C$28</f>
        <v>1.5266974688629971</v>
      </c>
      <c r="I40" s="46">
        <v>4.7559999999999998E-2</v>
      </c>
      <c r="J40" s="33"/>
      <c r="K40"/>
      <c r="L40" s="56"/>
    </row>
    <row r="41" spans="1:14" ht="13.8" customHeight="1" x14ac:dyDescent="0.3">
      <c r="A41" s="43"/>
      <c r="B41" s="36"/>
      <c r="C41" s="36"/>
      <c r="D41" s="19"/>
      <c r="E41" s="19"/>
      <c r="F41" s="55"/>
      <c r="G41" s="45">
        <f>+$C$27*3.51/$C$28</f>
        <v>1.531059461631177</v>
      </c>
      <c r="H41" s="45">
        <f>+$C$27*4/$C$28</f>
        <v>1.7447971072719966</v>
      </c>
      <c r="I41" s="46">
        <v>4.8820000000000002E-2</v>
      </c>
      <c r="J41" s="33"/>
      <c r="K41"/>
      <c r="L41" s="56"/>
    </row>
    <row r="42" spans="1:14" ht="13.8" customHeight="1" x14ac:dyDescent="0.3">
      <c r="A42" s="43"/>
      <c r="B42" s="36"/>
      <c r="C42" s="36"/>
      <c r="D42" s="19"/>
      <c r="E42" s="19"/>
      <c r="F42" s="55"/>
      <c r="G42" s="45">
        <f>+$C$27*4.01/$C$28</f>
        <v>1.7491591000401765</v>
      </c>
      <c r="H42" s="45">
        <f>+$C$27*20/$C$28</f>
        <v>8.723985536359983</v>
      </c>
      <c r="I42" s="46">
        <v>5.3310000000000003E-2</v>
      </c>
      <c r="J42" s="33"/>
      <c r="K42"/>
      <c r="L42" s="56"/>
    </row>
    <row r="43" spans="1:14" x14ac:dyDescent="0.3">
      <c r="A43" s="48"/>
      <c r="B43" s="36"/>
      <c r="C43" s="36"/>
      <c r="D43" s="37"/>
      <c r="E43" s="19"/>
      <c r="F43" s="32" t="s">
        <v>89</v>
      </c>
      <c r="G43" s="27"/>
      <c r="H43" s="27"/>
      <c r="I43" s="82">
        <v>7.5887499999999997E-2</v>
      </c>
      <c r="J43" s="49"/>
      <c r="K43" s="28" t="s">
        <v>78</v>
      </c>
      <c r="L43" s="29">
        <v>2</v>
      </c>
    </row>
    <row r="44" spans="1:14" ht="14.4" thickBot="1" x14ac:dyDescent="0.35">
      <c r="A44" s="43"/>
      <c r="B44" s="36"/>
      <c r="C44" s="36"/>
      <c r="D44" s="19"/>
      <c r="E44" s="19"/>
      <c r="F44" s="50" t="s">
        <v>90</v>
      </c>
      <c r="G44" s="51"/>
      <c r="H44" s="51"/>
      <c r="I44" s="52">
        <v>0.05</v>
      </c>
      <c r="J44" s="52"/>
      <c r="K44" s="53" t="s">
        <v>78</v>
      </c>
      <c r="L44" s="54">
        <v>2</v>
      </c>
    </row>
    <row r="45" spans="1:14" ht="14.4" thickBot="1" x14ac:dyDescent="0.35">
      <c r="A45" s="47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19"/>
      <c r="M45" s="19"/>
      <c r="N45" s="19"/>
    </row>
    <row r="46" spans="1:14" ht="31.2" thickBot="1" x14ac:dyDescent="0.35">
      <c r="A46" s="63" t="s">
        <v>21</v>
      </c>
      <c r="B46" s="64" t="s">
        <v>22</v>
      </c>
      <c r="C46" s="64" t="s">
        <v>23</v>
      </c>
      <c r="D46" s="64" t="s">
        <v>56</v>
      </c>
      <c r="E46" s="64" t="s">
        <v>57</v>
      </c>
      <c r="F46" s="64" t="s">
        <v>58</v>
      </c>
      <c r="G46" s="64" t="s">
        <v>59</v>
      </c>
      <c r="H46" s="64" t="s">
        <v>60</v>
      </c>
      <c r="I46" s="64" t="s">
        <v>61</v>
      </c>
      <c r="J46" s="64" t="s">
        <v>62</v>
      </c>
      <c r="K46" s="65" t="s">
        <v>63</v>
      </c>
      <c r="L46" s="65" t="s">
        <v>93</v>
      </c>
      <c r="M46" s="65" t="s">
        <v>91</v>
      </c>
      <c r="N46" s="66" t="s">
        <v>92</v>
      </c>
    </row>
    <row r="47" spans="1:14" ht="14.4" thickBot="1" x14ac:dyDescent="0.35">
      <c r="A47" s="67">
        <v>1</v>
      </c>
      <c r="B47" s="10" t="s">
        <v>24</v>
      </c>
      <c r="C47" s="11">
        <v>287.17</v>
      </c>
      <c r="D47" s="14">
        <f t="shared" ref="D47:D78" si="0">(IF(B47="","",ROUND(C47/$C$28,6)))</f>
        <v>1.1537569999999999</v>
      </c>
      <c r="E47" s="15">
        <v>1.72</v>
      </c>
      <c r="F47" s="16">
        <f t="shared" ref="F47:F78" si="1">IF(B47="","",ROUND(D47*E47,6))</f>
        <v>1.9844619999999999</v>
      </c>
      <c r="G47" s="17">
        <f t="shared" ref="G47:G78" si="2">+VLOOKUP(F47,$G$35:$I$42,3)</f>
        <v>5.3310000000000003E-2</v>
      </c>
      <c r="H47" s="16">
        <f t="shared" ref="H47:H78" si="3">IF(B47="","",ROUND(SUM($I$29:$I$33)+SUM($I$43:$I$44)+G47,6))</f>
        <v>0.244198</v>
      </c>
      <c r="I47" s="16">
        <f t="shared" ref="I47:I78" si="4">IF(B47="","",ROUND($I$27*C$30/F47,6))</f>
        <v>4.4840999999999999E-2</v>
      </c>
      <c r="J47" s="16">
        <f t="shared" ref="J47:J78" si="5">IF(B47="","",ROUND(IF(F47&gt;$C$31,($I$28-($I$28*$C$31/F47)),0),6))</f>
        <v>3.7460000000000002E-3</v>
      </c>
      <c r="K47" s="16">
        <f t="shared" ref="K47:K78" si="6">IF(B47="","",ROUND(+H47+I47+J47,6))</f>
        <v>0.29278500000000002</v>
      </c>
      <c r="L47" s="62">
        <f>E47*C47</f>
        <v>493.93240000000003</v>
      </c>
      <c r="M47" s="16">
        <f>(K47*C$21)+C$21</f>
        <v>1.7810671043165469</v>
      </c>
      <c r="N47" s="68">
        <f>L47*M47</f>
        <v>879.72674939612239</v>
      </c>
    </row>
    <row r="48" spans="1:14" ht="14.4" thickBot="1" x14ac:dyDescent="0.35">
      <c r="A48" s="69">
        <v>2</v>
      </c>
      <c r="B48" s="12" t="s">
        <v>27</v>
      </c>
      <c r="C48" s="13">
        <v>248.93</v>
      </c>
      <c r="D48" s="18">
        <f t="shared" ref="D48:D62" si="7">(IF(B48="","",ROUND(C48/$C$28,6)))</f>
        <v>1.000121</v>
      </c>
      <c r="E48" s="15">
        <v>1.5</v>
      </c>
      <c r="F48" s="16">
        <f t="shared" ref="F48:F62" si="8">IF(B48="","",ROUND(D48*E48,6))</f>
        <v>1.5001819999999999</v>
      </c>
      <c r="G48" s="17">
        <f t="shared" ref="G48:G62" si="9">+VLOOKUP(F48,$G$35:$I$42,3)</f>
        <v>4.7559999999999998E-2</v>
      </c>
      <c r="H48" s="16">
        <f t="shared" si="3"/>
        <v>0.23844799999999999</v>
      </c>
      <c r="I48" s="16">
        <f t="shared" ref="I48:I62" si="10">IF(B48="","",ROUND($I$27*C$30/F48,6))</f>
        <v>5.9316000000000001E-2</v>
      </c>
      <c r="J48" s="16">
        <f t="shared" ref="J48:J62" si="11">IF(B48="","",ROUND(IF(F48&gt;$C$31,($I$28-($I$28*$C$31/F48)),0),6))</f>
        <v>1.405E-3</v>
      </c>
      <c r="K48" s="16">
        <f t="shared" ref="K48:K62" si="12">IF(B48="","",ROUND(+H48+I48+J48,6))</f>
        <v>0.29916900000000002</v>
      </c>
      <c r="L48" s="62">
        <f t="shared" ref="L48:L78" si="13">E48*C48</f>
        <v>373.39499999999998</v>
      </c>
      <c r="M48" s="16">
        <f t="shared" ref="M48:M78" si="14">(K48*C$21)+C$21</f>
        <v>1.7898623273381298</v>
      </c>
      <c r="N48" s="68">
        <f t="shared" ref="N48:N78" si="15">L48*M48</f>
        <v>668.32564371642093</v>
      </c>
    </row>
    <row r="49" spans="1:14" ht="14.4" thickBot="1" x14ac:dyDescent="0.35">
      <c r="A49" s="69">
        <v>3</v>
      </c>
      <c r="B49" s="12" t="s">
        <v>28</v>
      </c>
      <c r="C49" s="13">
        <v>281.44</v>
      </c>
      <c r="D49" s="18">
        <f t="shared" si="7"/>
        <v>1.130735</v>
      </c>
      <c r="E49" s="15">
        <v>1.86</v>
      </c>
      <c r="F49" s="16">
        <f t="shared" si="8"/>
        <v>2.103167</v>
      </c>
      <c r="G49" s="17">
        <f t="shared" si="9"/>
        <v>5.3310000000000003E-2</v>
      </c>
      <c r="H49" s="16">
        <f t="shared" si="3"/>
        <v>0.244198</v>
      </c>
      <c r="I49" s="16">
        <f t="shared" si="10"/>
        <v>4.231E-2</v>
      </c>
      <c r="J49" s="16">
        <f t="shared" si="11"/>
        <v>4.156E-3</v>
      </c>
      <c r="K49" s="16">
        <f t="shared" si="12"/>
        <v>0.29066399999999998</v>
      </c>
      <c r="L49" s="62">
        <f t="shared" si="13"/>
        <v>523.47840000000008</v>
      </c>
      <c r="M49" s="16">
        <f t="shared" si="14"/>
        <v>1.7781450071942446</v>
      </c>
      <c r="N49" s="68">
        <f t="shared" si="15"/>
        <v>930.82050333403186</v>
      </c>
    </row>
    <row r="50" spans="1:14" ht="14.4" thickBot="1" x14ac:dyDescent="0.35">
      <c r="A50" s="69">
        <v>4</v>
      </c>
      <c r="B50" s="12" t="s">
        <v>30</v>
      </c>
      <c r="C50" s="13">
        <v>287.17</v>
      </c>
      <c r="D50" s="18">
        <f t="shared" si="7"/>
        <v>1.1537569999999999</v>
      </c>
      <c r="E50" s="15">
        <v>1.86</v>
      </c>
      <c r="F50" s="16">
        <f t="shared" si="8"/>
        <v>2.145988</v>
      </c>
      <c r="G50" s="17">
        <f t="shared" si="9"/>
        <v>5.3310000000000003E-2</v>
      </c>
      <c r="H50" s="16">
        <f t="shared" si="3"/>
        <v>0.244198</v>
      </c>
      <c r="I50" s="16">
        <f t="shared" si="10"/>
        <v>4.1466000000000003E-2</v>
      </c>
      <c r="J50" s="16">
        <f t="shared" si="11"/>
        <v>4.2919999999999998E-3</v>
      </c>
      <c r="K50" s="16">
        <f t="shared" si="12"/>
        <v>0.28995599999999999</v>
      </c>
      <c r="L50" s="62">
        <f t="shared" si="13"/>
        <v>534.13620000000003</v>
      </c>
      <c r="M50" s="16">
        <f t="shared" si="14"/>
        <v>1.7771695971223023</v>
      </c>
      <c r="N50" s="68">
        <f t="shared" si="15"/>
        <v>949.25061536243754</v>
      </c>
    </row>
    <row r="51" spans="1:14" ht="14.4" thickBot="1" x14ac:dyDescent="0.35">
      <c r="A51" s="69">
        <v>5</v>
      </c>
      <c r="B51" s="12" t="s">
        <v>32</v>
      </c>
      <c r="C51" s="13">
        <v>293.06</v>
      </c>
      <c r="D51" s="18">
        <f t="shared" si="7"/>
        <v>1.1774210000000001</v>
      </c>
      <c r="E51" s="15">
        <v>1.57</v>
      </c>
      <c r="F51" s="16">
        <f t="shared" si="8"/>
        <v>1.8485510000000001</v>
      </c>
      <c r="G51" s="17">
        <f t="shared" si="9"/>
        <v>5.3310000000000003E-2</v>
      </c>
      <c r="H51" s="16">
        <f t="shared" si="3"/>
        <v>0.244198</v>
      </c>
      <c r="I51" s="16">
        <f t="shared" si="10"/>
        <v>4.8136999999999999E-2</v>
      </c>
      <c r="J51" s="16">
        <f t="shared" si="11"/>
        <v>3.2130000000000001E-3</v>
      </c>
      <c r="K51" s="16">
        <f t="shared" si="12"/>
        <v>0.29554799999999998</v>
      </c>
      <c r="L51" s="62">
        <f t="shared" si="13"/>
        <v>460.10420000000005</v>
      </c>
      <c r="M51" s="16">
        <f t="shared" si="14"/>
        <v>1.7848736834532375</v>
      </c>
      <c r="N51" s="68">
        <f t="shared" si="15"/>
        <v>821.22787822630517</v>
      </c>
    </row>
    <row r="52" spans="1:14" ht="14.4" thickBot="1" x14ac:dyDescent="0.35">
      <c r="A52" s="69">
        <v>6</v>
      </c>
      <c r="B52" s="12" t="s">
        <v>36</v>
      </c>
      <c r="C52" s="13">
        <v>281.44</v>
      </c>
      <c r="D52" s="18">
        <f t="shared" si="7"/>
        <v>1.130735</v>
      </c>
      <c r="E52" s="15">
        <v>1.86</v>
      </c>
      <c r="F52" s="16">
        <f t="shared" si="8"/>
        <v>2.103167</v>
      </c>
      <c r="G52" s="17">
        <f t="shared" si="9"/>
        <v>5.3310000000000003E-2</v>
      </c>
      <c r="H52" s="16">
        <f t="shared" si="3"/>
        <v>0.244198</v>
      </c>
      <c r="I52" s="16">
        <f t="shared" si="10"/>
        <v>4.231E-2</v>
      </c>
      <c r="J52" s="16">
        <f t="shared" si="11"/>
        <v>4.156E-3</v>
      </c>
      <c r="K52" s="16">
        <f t="shared" si="12"/>
        <v>0.29066399999999998</v>
      </c>
      <c r="L52" s="62">
        <f t="shared" si="13"/>
        <v>523.47840000000008</v>
      </c>
      <c r="M52" s="16">
        <f t="shared" si="14"/>
        <v>1.7781450071942446</v>
      </c>
      <c r="N52" s="68">
        <f t="shared" si="15"/>
        <v>930.82050333403186</v>
      </c>
    </row>
    <row r="53" spans="1:14" ht="14.4" thickBot="1" x14ac:dyDescent="0.35">
      <c r="A53" s="69">
        <v>7</v>
      </c>
      <c r="B53" s="12" t="s">
        <v>37</v>
      </c>
      <c r="C53" s="13">
        <v>262.13</v>
      </c>
      <c r="D53" s="18">
        <f t="shared" si="7"/>
        <v>1.0531539999999999</v>
      </c>
      <c r="E53" s="15">
        <v>1.43</v>
      </c>
      <c r="F53" s="16">
        <f t="shared" si="8"/>
        <v>1.5060100000000001</v>
      </c>
      <c r="G53" s="17">
        <f t="shared" si="9"/>
        <v>4.7559999999999998E-2</v>
      </c>
      <c r="H53" s="16">
        <f t="shared" si="3"/>
        <v>0.23844799999999999</v>
      </c>
      <c r="I53" s="16">
        <f t="shared" si="10"/>
        <v>5.9086E-2</v>
      </c>
      <c r="J53" s="16">
        <f t="shared" si="11"/>
        <v>1.4419999999999999E-3</v>
      </c>
      <c r="K53" s="16">
        <f t="shared" si="12"/>
        <v>0.29897600000000002</v>
      </c>
      <c r="L53" s="62">
        <f t="shared" si="13"/>
        <v>374.84589999999997</v>
      </c>
      <c r="M53" s="16">
        <f t="shared" si="14"/>
        <v>1.7895964316546764</v>
      </c>
      <c r="N53" s="68">
        <f t="shared" si="15"/>
        <v>670.8228850603856</v>
      </c>
    </row>
    <row r="54" spans="1:14" ht="14.4" thickBot="1" x14ac:dyDescent="0.35">
      <c r="A54" s="69">
        <v>8</v>
      </c>
      <c r="B54" s="12" t="s">
        <v>38</v>
      </c>
      <c r="C54" s="13">
        <v>277.8</v>
      </c>
      <c r="D54" s="18">
        <f t="shared" si="7"/>
        <v>1.1161110000000001</v>
      </c>
      <c r="E54" s="15">
        <v>1.86</v>
      </c>
      <c r="F54" s="16">
        <f t="shared" si="8"/>
        <v>2.0759660000000002</v>
      </c>
      <c r="G54" s="17">
        <f t="shared" si="9"/>
        <v>5.3310000000000003E-2</v>
      </c>
      <c r="H54" s="16">
        <f t="shared" si="3"/>
        <v>0.244198</v>
      </c>
      <c r="I54" s="16">
        <f t="shared" si="10"/>
        <v>4.2863999999999999E-2</v>
      </c>
      <c r="J54" s="16">
        <f t="shared" si="11"/>
        <v>4.0660000000000002E-3</v>
      </c>
      <c r="K54" s="16">
        <f t="shared" si="12"/>
        <v>0.291128</v>
      </c>
      <c r="L54" s="62">
        <f t="shared" si="13"/>
        <v>516.70800000000008</v>
      </c>
      <c r="M54" s="16">
        <f t="shared" si="14"/>
        <v>1.7787842589928058</v>
      </c>
      <c r="N54" s="68">
        <f t="shared" si="15"/>
        <v>919.11205689565486</v>
      </c>
    </row>
    <row r="55" spans="1:14" ht="14.4" thickBot="1" x14ac:dyDescent="0.35">
      <c r="A55" s="69">
        <v>9</v>
      </c>
      <c r="B55" s="12" t="s">
        <v>39</v>
      </c>
      <c r="C55" s="13">
        <v>277.8</v>
      </c>
      <c r="D55" s="18">
        <f t="shared" si="7"/>
        <v>1.1161110000000001</v>
      </c>
      <c r="E55" s="15">
        <v>2</v>
      </c>
      <c r="F55" s="16">
        <f t="shared" si="8"/>
        <v>2.2322220000000002</v>
      </c>
      <c r="G55" s="17">
        <f t="shared" si="9"/>
        <v>5.3310000000000003E-2</v>
      </c>
      <c r="H55" s="16">
        <f t="shared" si="3"/>
        <v>0.244198</v>
      </c>
      <c r="I55" s="16">
        <f t="shared" si="10"/>
        <v>3.9863999999999997E-2</v>
      </c>
      <c r="J55" s="16">
        <f t="shared" si="11"/>
        <v>4.5510000000000004E-3</v>
      </c>
      <c r="K55" s="16">
        <f t="shared" si="12"/>
        <v>0.28861300000000001</v>
      </c>
      <c r="L55" s="62">
        <f t="shared" si="13"/>
        <v>555.6</v>
      </c>
      <c r="M55" s="16">
        <f t="shared" si="14"/>
        <v>1.7753193489208634</v>
      </c>
      <c r="N55" s="68">
        <f t="shared" si="15"/>
        <v>986.36743026043177</v>
      </c>
    </row>
    <row r="56" spans="1:14" ht="14.4" thickBot="1" x14ac:dyDescent="0.35">
      <c r="A56" s="69">
        <v>10</v>
      </c>
      <c r="B56" s="12" t="s">
        <v>41</v>
      </c>
      <c r="C56" s="13">
        <v>300.83999999999997</v>
      </c>
      <c r="D56" s="18">
        <f>(IF(B56="","",ROUND(C56/$C$28,6)))</f>
        <v>1.2086779999999999</v>
      </c>
      <c r="E56" s="15">
        <v>2</v>
      </c>
      <c r="F56" s="16">
        <f>IF(B56="","",ROUND(D56*E56,6))</f>
        <v>2.4173559999999998</v>
      </c>
      <c r="G56" s="17">
        <f>+VLOOKUP(F56,$G$35:$I$42,3)</f>
        <v>5.3310000000000003E-2</v>
      </c>
      <c r="H56" s="16">
        <f>IF(B56="","",ROUND(SUM($I$29:$I$33)+SUM($I$43:$I$44)+G56,6))</f>
        <v>0.244198</v>
      </c>
      <c r="I56" s="16">
        <f>IF(B56="","",ROUND($I$27*C$30/F56,6))</f>
        <v>3.6811000000000003E-2</v>
      </c>
      <c r="J56" s="16">
        <f>IF(B56="","",ROUND(IF(F56&gt;$C$31,($I$28-($I$28*$C$31/F56)),0),6))</f>
        <v>5.045E-3</v>
      </c>
      <c r="K56" s="16">
        <f>IF(B56="","",ROUND(+H56+I56+J56,6))</f>
        <v>0.28605399999999997</v>
      </c>
      <c r="L56" s="62">
        <f t="shared" si="13"/>
        <v>601.67999999999995</v>
      </c>
      <c r="M56" s="16">
        <f t="shared" si="14"/>
        <v>1.771793820143885</v>
      </c>
      <c r="N56" s="68">
        <f t="shared" si="15"/>
        <v>1066.0529057041726</v>
      </c>
    </row>
    <row r="57" spans="1:14" ht="14.4" thickBot="1" x14ac:dyDescent="0.35">
      <c r="A57" s="69">
        <v>11</v>
      </c>
      <c r="B57" s="12" t="s">
        <v>43</v>
      </c>
      <c r="C57" s="13">
        <v>300.83999999999997</v>
      </c>
      <c r="D57" s="18">
        <f t="shared" si="7"/>
        <v>1.2086779999999999</v>
      </c>
      <c r="E57" s="15">
        <v>2.5099999999999998</v>
      </c>
      <c r="F57" s="16">
        <f t="shared" si="8"/>
        <v>3.033782</v>
      </c>
      <c r="G57" s="17">
        <f t="shared" si="9"/>
        <v>5.3310000000000003E-2</v>
      </c>
      <c r="H57" s="16">
        <f t="shared" si="3"/>
        <v>0.244198</v>
      </c>
      <c r="I57" s="16">
        <f t="shared" si="10"/>
        <v>2.9330999999999999E-2</v>
      </c>
      <c r="J57" s="16">
        <f t="shared" si="11"/>
        <v>6.2550000000000001E-3</v>
      </c>
      <c r="K57" s="16">
        <f t="shared" si="12"/>
        <v>0.27978399999999998</v>
      </c>
      <c r="L57" s="62">
        <f t="shared" si="13"/>
        <v>755.10839999999985</v>
      </c>
      <c r="M57" s="16">
        <f t="shared" si="14"/>
        <v>1.763155654676259</v>
      </c>
      <c r="N57" s="68">
        <f t="shared" si="15"/>
        <v>1331.3736453535421</v>
      </c>
    </row>
    <row r="58" spans="1:14" ht="14.4" thickBot="1" x14ac:dyDescent="0.35">
      <c r="A58" s="69">
        <v>12</v>
      </c>
      <c r="B58" s="12" t="s">
        <v>44</v>
      </c>
      <c r="C58" s="13">
        <v>248.93</v>
      </c>
      <c r="D58" s="18">
        <f t="shared" si="7"/>
        <v>1.000121</v>
      </c>
      <c r="E58" s="15">
        <v>1.43</v>
      </c>
      <c r="F58" s="16">
        <f t="shared" si="8"/>
        <v>1.4301729999999999</v>
      </c>
      <c r="G58" s="17">
        <f t="shared" si="9"/>
        <v>4.7559999999999998E-2</v>
      </c>
      <c r="H58" s="16">
        <f t="shared" si="3"/>
        <v>0.23844799999999999</v>
      </c>
      <c r="I58" s="16">
        <f t="shared" si="10"/>
        <v>6.2219000000000003E-2</v>
      </c>
      <c r="J58" s="16">
        <f t="shared" si="11"/>
        <v>9.3499999999999996E-4</v>
      </c>
      <c r="K58" s="16">
        <f t="shared" si="12"/>
        <v>0.30160199999999998</v>
      </c>
      <c r="L58" s="62">
        <f t="shared" si="13"/>
        <v>355.9699</v>
      </c>
      <c r="M58" s="16">
        <f t="shared" si="14"/>
        <v>1.7932142661870505</v>
      </c>
      <c r="N58" s="68">
        <f t="shared" si="15"/>
        <v>638.33030301317774</v>
      </c>
    </row>
    <row r="59" spans="1:14" ht="14.4" thickBot="1" x14ac:dyDescent="0.35">
      <c r="A59" s="69">
        <v>13</v>
      </c>
      <c r="B59" s="12" t="s">
        <v>45</v>
      </c>
      <c r="C59" s="13">
        <v>275.93</v>
      </c>
      <c r="D59" s="18">
        <f t="shared" si="7"/>
        <v>1.108598</v>
      </c>
      <c r="E59" s="15">
        <v>1.79</v>
      </c>
      <c r="F59" s="16">
        <f t="shared" si="8"/>
        <v>1.9843900000000001</v>
      </c>
      <c r="G59" s="17">
        <f t="shared" si="9"/>
        <v>5.3310000000000003E-2</v>
      </c>
      <c r="H59" s="16">
        <f t="shared" si="3"/>
        <v>0.244198</v>
      </c>
      <c r="I59" s="16">
        <f t="shared" si="10"/>
        <v>4.4842E-2</v>
      </c>
      <c r="J59" s="16">
        <f t="shared" si="11"/>
        <v>3.7460000000000002E-3</v>
      </c>
      <c r="K59" s="16">
        <f t="shared" si="12"/>
        <v>0.29278599999999999</v>
      </c>
      <c r="L59" s="62">
        <f t="shared" si="13"/>
        <v>493.91470000000004</v>
      </c>
      <c r="M59" s="16">
        <f t="shared" si="14"/>
        <v>1.7810684820143887</v>
      </c>
      <c r="N59" s="68">
        <f t="shared" si="15"/>
        <v>879.69590497359229</v>
      </c>
    </row>
    <row r="60" spans="1:14" ht="14.4" thickBot="1" x14ac:dyDescent="0.35">
      <c r="A60" s="69">
        <v>14</v>
      </c>
      <c r="B60" s="12" t="s">
        <v>46</v>
      </c>
      <c r="C60" s="13">
        <v>276.42</v>
      </c>
      <c r="D60" s="18">
        <f t="shared" si="7"/>
        <v>1.1105659999999999</v>
      </c>
      <c r="E60" s="15">
        <v>1.86</v>
      </c>
      <c r="F60" s="16">
        <f t="shared" si="8"/>
        <v>2.0656530000000002</v>
      </c>
      <c r="G60" s="17">
        <f t="shared" si="9"/>
        <v>5.3310000000000003E-2</v>
      </c>
      <c r="H60" s="16">
        <f t="shared" si="3"/>
        <v>0.244198</v>
      </c>
      <c r="I60" s="16">
        <f t="shared" si="10"/>
        <v>4.3077999999999998E-2</v>
      </c>
      <c r="J60" s="16">
        <f t="shared" si="11"/>
        <v>4.0309999999999999E-3</v>
      </c>
      <c r="K60" s="16">
        <f t="shared" si="12"/>
        <v>0.29130699999999998</v>
      </c>
      <c r="L60" s="62">
        <f t="shared" si="13"/>
        <v>514.14120000000003</v>
      </c>
      <c r="M60" s="16">
        <f t="shared" si="14"/>
        <v>1.7790308669064749</v>
      </c>
      <c r="N60" s="68">
        <f t="shared" si="15"/>
        <v>914.67306474833538</v>
      </c>
    </row>
    <row r="61" spans="1:14" ht="14.4" thickBot="1" x14ac:dyDescent="0.35">
      <c r="A61" s="69">
        <v>15</v>
      </c>
      <c r="B61" s="12" t="s">
        <v>53</v>
      </c>
      <c r="C61" s="13">
        <v>257.88</v>
      </c>
      <c r="D61" s="18">
        <f t="shared" si="7"/>
        <v>1.036079</v>
      </c>
      <c r="E61" s="15">
        <v>1.43</v>
      </c>
      <c r="F61" s="16">
        <f t="shared" si="8"/>
        <v>1.4815929999999999</v>
      </c>
      <c r="G61" s="17">
        <f t="shared" si="9"/>
        <v>4.7559999999999998E-2</v>
      </c>
      <c r="H61" s="16">
        <f t="shared" si="3"/>
        <v>0.23844799999999999</v>
      </c>
      <c r="I61" s="16">
        <f t="shared" si="10"/>
        <v>6.0060000000000002E-2</v>
      </c>
      <c r="J61" s="16">
        <f t="shared" si="11"/>
        <v>1.284E-3</v>
      </c>
      <c r="K61" s="16">
        <f t="shared" si="12"/>
        <v>0.299792</v>
      </c>
      <c r="L61" s="62">
        <f t="shared" si="13"/>
        <v>368.76839999999999</v>
      </c>
      <c r="M61" s="16">
        <f t="shared" si="14"/>
        <v>1.7907206330935252</v>
      </c>
      <c r="N61" s="68">
        <f t="shared" si="15"/>
        <v>660.36118271288638</v>
      </c>
    </row>
    <row r="62" spans="1:14" ht="14.4" thickBot="1" x14ac:dyDescent="0.35">
      <c r="A62" s="70">
        <v>16</v>
      </c>
      <c r="B62" s="71" t="s">
        <v>55</v>
      </c>
      <c r="C62" s="72">
        <v>268.02</v>
      </c>
      <c r="D62" s="73">
        <f t="shared" si="7"/>
        <v>1.0768180000000001</v>
      </c>
      <c r="E62" s="74">
        <v>2</v>
      </c>
      <c r="F62" s="75">
        <f t="shared" si="8"/>
        <v>2.1536360000000001</v>
      </c>
      <c r="G62" s="76">
        <f t="shared" si="9"/>
        <v>5.3310000000000003E-2</v>
      </c>
      <c r="H62" s="75">
        <f t="shared" si="3"/>
        <v>0.244198</v>
      </c>
      <c r="I62" s="75">
        <f t="shared" si="10"/>
        <v>4.1318000000000001E-2</v>
      </c>
      <c r="J62" s="75">
        <f t="shared" si="11"/>
        <v>4.3160000000000004E-3</v>
      </c>
      <c r="K62" s="75">
        <f t="shared" si="12"/>
        <v>0.28983199999999998</v>
      </c>
      <c r="L62" s="62">
        <f t="shared" si="13"/>
        <v>536.04</v>
      </c>
      <c r="M62" s="16">
        <f t="shared" si="14"/>
        <v>1.7769987625899282</v>
      </c>
      <c r="N62" s="68">
        <f t="shared" si="15"/>
        <v>952.54241669870498</v>
      </c>
    </row>
    <row r="63" spans="1:14" ht="14.4" thickBot="1" x14ac:dyDescent="0.35">
      <c r="A63" s="69">
        <v>17</v>
      </c>
      <c r="B63" s="12" t="s">
        <v>25</v>
      </c>
      <c r="C63" s="13">
        <v>287.17</v>
      </c>
      <c r="D63" s="18">
        <f t="shared" si="0"/>
        <v>1.1537569999999999</v>
      </c>
      <c r="E63" s="15">
        <v>2</v>
      </c>
      <c r="F63" s="16">
        <f t="shared" si="1"/>
        <v>2.3075139999999998</v>
      </c>
      <c r="G63" s="17">
        <f t="shared" si="2"/>
        <v>5.3310000000000003E-2</v>
      </c>
      <c r="H63" s="16">
        <f t="shared" si="3"/>
        <v>0.244198</v>
      </c>
      <c r="I63" s="16">
        <f t="shared" si="4"/>
        <v>3.8563E-2</v>
      </c>
      <c r="J63" s="16">
        <f t="shared" si="5"/>
        <v>4.7619999999999997E-3</v>
      </c>
      <c r="K63" s="16">
        <f t="shared" si="6"/>
        <v>0.28752299999999997</v>
      </c>
      <c r="L63" s="62">
        <f t="shared" si="13"/>
        <v>574.34</v>
      </c>
      <c r="M63" s="16">
        <f t="shared" si="14"/>
        <v>1.7738176582733813</v>
      </c>
      <c r="N63" s="68">
        <f t="shared" si="15"/>
        <v>1018.7744338527339</v>
      </c>
    </row>
    <row r="64" spans="1:14" ht="14.4" thickBot="1" x14ac:dyDescent="0.35">
      <c r="A64" s="69">
        <v>18</v>
      </c>
      <c r="B64" s="12" t="s">
        <v>26</v>
      </c>
      <c r="C64" s="13">
        <v>248.93</v>
      </c>
      <c r="D64" s="18">
        <f t="shared" si="0"/>
        <v>1.000121</v>
      </c>
      <c r="E64" s="15">
        <v>1.57</v>
      </c>
      <c r="F64" s="16">
        <f t="shared" si="1"/>
        <v>1.57019</v>
      </c>
      <c r="G64" s="17">
        <f t="shared" si="2"/>
        <v>4.8820000000000002E-2</v>
      </c>
      <c r="H64" s="16">
        <f t="shared" si="3"/>
        <v>0.239708</v>
      </c>
      <c r="I64" s="16">
        <f t="shared" si="4"/>
        <v>5.6670999999999999E-2</v>
      </c>
      <c r="J64" s="16">
        <f t="shared" si="5"/>
        <v>1.833E-3</v>
      </c>
      <c r="K64" s="16">
        <f t="shared" si="6"/>
        <v>0.29821199999999998</v>
      </c>
      <c r="L64" s="62">
        <f t="shared" si="13"/>
        <v>390.82010000000002</v>
      </c>
      <c r="M64" s="16">
        <f t="shared" si="14"/>
        <v>1.7885438705035972</v>
      </c>
      <c r="N64" s="68">
        <f t="shared" si="15"/>
        <v>698.99889432460293</v>
      </c>
    </row>
    <row r="65" spans="1:14" ht="14.4" thickBot="1" x14ac:dyDescent="0.35">
      <c r="A65" s="69">
        <v>19</v>
      </c>
      <c r="B65" s="12" t="s">
        <v>29</v>
      </c>
      <c r="C65" s="13">
        <v>287.17</v>
      </c>
      <c r="D65" s="18">
        <f t="shared" si="0"/>
        <v>1.1537569999999999</v>
      </c>
      <c r="E65" s="15">
        <v>1.86</v>
      </c>
      <c r="F65" s="16">
        <f t="shared" si="1"/>
        <v>2.145988</v>
      </c>
      <c r="G65" s="17">
        <f t="shared" si="2"/>
        <v>5.3310000000000003E-2</v>
      </c>
      <c r="H65" s="16">
        <f t="shared" si="3"/>
        <v>0.244198</v>
      </c>
      <c r="I65" s="16">
        <f t="shared" si="4"/>
        <v>4.1466000000000003E-2</v>
      </c>
      <c r="J65" s="16">
        <f t="shared" si="5"/>
        <v>4.2919999999999998E-3</v>
      </c>
      <c r="K65" s="16">
        <f t="shared" si="6"/>
        <v>0.28995599999999999</v>
      </c>
      <c r="L65" s="62">
        <f t="shared" si="13"/>
        <v>534.13620000000003</v>
      </c>
      <c r="M65" s="16">
        <f t="shared" si="14"/>
        <v>1.7771695971223023</v>
      </c>
      <c r="N65" s="68">
        <f t="shared" si="15"/>
        <v>949.25061536243754</v>
      </c>
    </row>
    <row r="66" spans="1:14" ht="21" thickBot="1" x14ac:dyDescent="0.35">
      <c r="A66" s="69">
        <v>20</v>
      </c>
      <c r="B66" s="12" t="s">
        <v>31</v>
      </c>
      <c r="C66" s="13">
        <v>282.44</v>
      </c>
      <c r="D66" s="18">
        <f t="shared" si="0"/>
        <v>1.1347529999999999</v>
      </c>
      <c r="E66" s="15">
        <v>2</v>
      </c>
      <c r="F66" s="16">
        <f t="shared" si="1"/>
        <v>2.2695059999999998</v>
      </c>
      <c r="G66" s="17">
        <f t="shared" si="2"/>
        <v>5.3310000000000003E-2</v>
      </c>
      <c r="H66" s="16">
        <f t="shared" si="3"/>
        <v>0.244198</v>
      </c>
      <c r="I66" s="16">
        <f t="shared" si="4"/>
        <v>3.9209000000000001E-2</v>
      </c>
      <c r="J66" s="16">
        <f t="shared" si="5"/>
        <v>4.6569999999999997E-3</v>
      </c>
      <c r="K66" s="16">
        <f t="shared" si="6"/>
        <v>0.28806399999999999</v>
      </c>
      <c r="L66" s="62">
        <f t="shared" si="13"/>
        <v>564.88</v>
      </c>
      <c r="M66" s="16">
        <f t="shared" si="14"/>
        <v>1.7745629928057556</v>
      </c>
      <c r="N66" s="68">
        <f t="shared" si="15"/>
        <v>1002.4151433761152</v>
      </c>
    </row>
    <row r="67" spans="1:14" ht="14.4" thickBot="1" x14ac:dyDescent="0.35">
      <c r="A67" s="69">
        <v>21</v>
      </c>
      <c r="B67" s="12" t="s">
        <v>33</v>
      </c>
      <c r="C67" s="13">
        <v>284.76</v>
      </c>
      <c r="D67" s="18">
        <f t="shared" si="0"/>
        <v>1.144074</v>
      </c>
      <c r="E67" s="15">
        <v>1.43</v>
      </c>
      <c r="F67" s="16">
        <f t="shared" si="1"/>
        <v>1.636026</v>
      </c>
      <c r="G67" s="17">
        <f t="shared" si="2"/>
        <v>4.8820000000000002E-2</v>
      </c>
      <c r="H67" s="16">
        <f t="shared" si="3"/>
        <v>0.239708</v>
      </c>
      <c r="I67" s="16">
        <f t="shared" si="4"/>
        <v>5.4391000000000002E-2</v>
      </c>
      <c r="J67" s="16">
        <f t="shared" si="5"/>
        <v>2.202E-3</v>
      </c>
      <c r="K67" s="16">
        <f t="shared" si="6"/>
        <v>0.29630099999999998</v>
      </c>
      <c r="L67" s="62">
        <f t="shared" si="13"/>
        <v>407.20679999999999</v>
      </c>
      <c r="M67" s="16">
        <f t="shared" si="14"/>
        <v>1.7859110899280577</v>
      </c>
      <c r="N67" s="68">
        <f t="shared" si="15"/>
        <v>727.23514001411661</v>
      </c>
    </row>
    <row r="68" spans="1:14" ht="14.4" thickBot="1" x14ac:dyDescent="0.35">
      <c r="A68" s="69">
        <v>22</v>
      </c>
      <c r="B68" s="12" t="s">
        <v>34</v>
      </c>
      <c r="C68" s="13">
        <v>281.44</v>
      </c>
      <c r="D68" s="18">
        <f t="shared" si="0"/>
        <v>1.130735</v>
      </c>
      <c r="E68" s="15">
        <v>1.86</v>
      </c>
      <c r="F68" s="16">
        <f t="shared" si="1"/>
        <v>2.103167</v>
      </c>
      <c r="G68" s="17">
        <f t="shared" si="2"/>
        <v>5.3310000000000003E-2</v>
      </c>
      <c r="H68" s="16">
        <f t="shared" si="3"/>
        <v>0.244198</v>
      </c>
      <c r="I68" s="16">
        <f t="shared" si="4"/>
        <v>4.231E-2</v>
      </c>
      <c r="J68" s="16">
        <f t="shared" si="5"/>
        <v>4.156E-3</v>
      </c>
      <c r="K68" s="16">
        <f t="shared" si="6"/>
        <v>0.29066399999999998</v>
      </c>
      <c r="L68" s="62">
        <f t="shared" si="13"/>
        <v>523.47840000000008</v>
      </c>
      <c r="M68" s="16">
        <f t="shared" si="14"/>
        <v>1.7781450071942446</v>
      </c>
      <c r="N68" s="68">
        <f t="shared" si="15"/>
        <v>930.82050333403186</v>
      </c>
    </row>
    <row r="69" spans="1:14" ht="21" thickBot="1" x14ac:dyDescent="0.35">
      <c r="A69" s="69">
        <v>23</v>
      </c>
      <c r="B69" s="12" t="s">
        <v>35</v>
      </c>
      <c r="C69" s="13">
        <v>281.44</v>
      </c>
      <c r="D69" s="18">
        <f t="shared" si="0"/>
        <v>1.130735</v>
      </c>
      <c r="E69" s="15">
        <v>2</v>
      </c>
      <c r="F69" s="16">
        <f t="shared" si="1"/>
        <v>2.2614700000000001</v>
      </c>
      <c r="G69" s="17">
        <f t="shared" si="2"/>
        <v>5.3310000000000003E-2</v>
      </c>
      <c r="H69" s="16">
        <f t="shared" si="3"/>
        <v>0.244198</v>
      </c>
      <c r="I69" s="16">
        <f t="shared" si="4"/>
        <v>3.9348000000000001E-2</v>
      </c>
      <c r="J69" s="16">
        <f t="shared" si="5"/>
        <v>4.6350000000000002E-3</v>
      </c>
      <c r="K69" s="16">
        <f t="shared" si="6"/>
        <v>0.28818100000000002</v>
      </c>
      <c r="L69" s="62">
        <f t="shared" si="13"/>
        <v>562.88</v>
      </c>
      <c r="M69" s="16">
        <f t="shared" si="14"/>
        <v>1.7747241834532375</v>
      </c>
      <c r="N69" s="68">
        <f t="shared" si="15"/>
        <v>998.95674838215825</v>
      </c>
    </row>
    <row r="70" spans="1:14" ht="14.4" thickBot="1" x14ac:dyDescent="0.35">
      <c r="A70" s="69">
        <v>24</v>
      </c>
      <c r="B70" s="12" t="s">
        <v>40</v>
      </c>
      <c r="C70" s="13">
        <v>248.93</v>
      </c>
      <c r="D70" s="18">
        <f t="shared" si="0"/>
        <v>1.000121</v>
      </c>
      <c r="E70" s="15">
        <v>1.43</v>
      </c>
      <c r="F70" s="16">
        <f t="shared" si="1"/>
        <v>1.4301729999999999</v>
      </c>
      <c r="G70" s="17">
        <f t="shared" si="2"/>
        <v>4.7559999999999998E-2</v>
      </c>
      <c r="H70" s="16">
        <f t="shared" si="3"/>
        <v>0.23844799999999999</v>
      </c>
      <c r="I70" s="16">
        <f t="shared" si="4"/>
        <v>6.2219000000000003E-2</v>
      </c>
      <c r="J70" s="16">
        <f t="shared" si="5"/>
        <v>9.3499999999999996E-4</v>
      </c>
      <c r="K70" s="16">
        <f t="shared" si="6"/>
        <v>0.30160199999999998</v>
      </c>
      <c r="L70" s="62">
        <f t="shared" si="13"/>
        <v>355.9699</v>
      </c>
      <c r="M70" s="16">
        <f t="shared" si="14"/>
        <v>1.7932142661870505</v>
      </c>
      <c r="N70" s="68">
        <f t="shared" si="15"/>
        <v>638.33030301317774</v>
      </c>
    </row>
    <row r="71" spans="1:14" ht="14.4" thickBot="1" x14ac:dyDescent="0.35">
      <c r="A71" s="69">
        <v>25</v>
      </c>
      <c r="B71" s="12" t="s">
        <v>42</v>
      </c>
      <c r="C71" s="13">
        <v>303.61</v>
      </c>
      <c r="D71" s="18">
        <f t="shared" si="0"/>
        <v>1.2198070000000001</v>
      </c>
      <c r="E71" s="15">
        <v>1.86</v>
      </c>
      <c r="F71" s="16">
        <f t="shared" si="1"/>
        <v>2.2688410000000001</v>
      </c>
      <c r="G71" s="17">
        <f t="shared" si="2"/>
        <v>5.3310000000000003E-2</v>
      </c>
      <c r="H71" s="16">
        <f t="shared" si="3"/>
        <v>0.244198</v>
      </c>
      <c r="I71" s="16">
        <f t="shared" si="4"/>
        <v>3.9219999999999998E-2</v>
      </c>
      <c r="J71" s="16">
        <f t="shared" si="5"/>
        <v>4.6560000000000004E-3</v>
      </c>
      <c r="K71" s="16">
        <f t="shared" si="6"/>
        <v>0.288074</v>
      </c>
      <c r="L71" s="62">
        <f t="shared" si="13"/>
        <v>564.71460000000002</v>
      </c>
      <c r="M71" s="16">
        <f t="shared" si="14"/>
        <v>1.7745767697841728</v>
      </c>
      <c r="N71" s="68">
        <f t="shared" si="15"/>
        <v>1002.1294107179613</v>
      </c>
    </row>
    <row r="72" spans="1:14" ht="14.4" thickBot="1" x14ac:dyDescent="0.35">
      <c r="A72" s="69">
        <v>26</v>
      </c>
      <c r="B72" s="12" t="s">
        <v>47</v>
      </c>
      <c r="C72" s="13">
        <v>287.17</v>
      </c>
      <c r="D72" s="18">
        <f t="shared" si="0"/>
        <v>1.1537569999999999</v>
      </c>
      <c r="E72" s="15">
        <v>2.15</v>
      </c>
      <c r="F72" s="16">
        <f t="shared" si="1"/>
        <v>2.4805779999999999</v>
      </c>
      <c r="G72" s="17">
        <f t="shared" si="2"/>
        <v>5.3310000000000003E-2</v>
      </c>
      <c r="H72" s="16">
        <f t="shared" si="3"/>
        <v>0.244198</v>
      </c>
      <c r="I72" s="16">
        <f t="shared" si="4"/>
        <v>3.5873000000000002E-2</v>
      </c>
      <c r="J72" s="16">
        <f t="shared" si="5"/>
        <v>5.1970000000000002E-3</v>
      </c>
      <c r="K72" s="16">
        <f t="shared" si="6"/>
        <v>0.28526800000000002</v>
      </c>
      <c r="L72" s="62">
        <f t="shared" si="13"/>
        <v>617.41550000000007</v>
      </c>
      <c r="M72" s="16">
        <f t="shared" si="14"/>
        <v>1.770710949640288</v>
      </c>
      <c r="N72" s="68">
        <f t="shared" si="15"/>
        <v>1093.2643863276332</v>
      </c>
    </row>
    <row r="73" spans="1:14" ht="14.4" thickBot="1" x14ac:dyDescent="0.35">
      <c r="A73" s="69">
        <v>27</v>
      </c>
      <c r="B73" s="12" t="s">
        <v>48</v>
      </c>
      <c r="C73" s="13">
        <v>287.17</v>
      </c>
      <c r="D73" s="18">
        <f t="shared" si="0"/>
        <v>1.1537569999999999</v>
      </c>
      <c r="E73" s="15">
        <v>2.15</v>
      </c>
      <c r="F73" s="16">
        <f t="shared" si="1"/>
        <v>2.4805779999999999</v>
      </c>
      <c r="G73" s="17">
        <f t="shared" si="2"/>
        <v>5.3310000000000003E-2</v>
      </c>
      <c r="H73" s="16">
        <f t="shared" si="3"/>
        <v>0.244198</v>
      </c>
      <c r="I73" s="16">
        <f t="shared" si="4"/>
        <v>3.5873000000000002E-2</v>
      </c>
      <c r="J73" s="16">
        <f t="shared" si="5"/>
        <v>5.1970000000000002E-3</v>
      </c>
      <c r="K73" s="16">
        <f t="shared" si="6"/>
        <v>0.28526800000000002</v>
      </c>
      <c r="L73" s="62">
        <f t="shared" si="13"/>
        <v>617.41550000000007</v>
      </c>
      <c r="M73" s="16">
        <f t="shared" si="14"/>
        <v>1.770710949640288</v>
      </c>
      <c r="N73" s="68">
        <f t="shared" si="15"/>
        <v>1093.2643863276332</v>
      </c>
    </row>
    <row r="74" spans="1:14" ht="14.4" thickBot="1" x14ac:dyDescent="0.35">
      <c r="A74" s="69">
        <v>28</v>
      </c>
      <c r="B74" s="12" t="s">
        <v>49</v>
      </c>
      <c r="C74" s="13">
        <v>284.16000000000003</v>
      </c>
      <c r="D74" s="18">
        <f t="shared" si="0"/>
        <v>1.1416630000000001</v>
      </c>
      <c r="E74" s="15">
        <v>2</v>
      </c>
      <c r="F74" s="16">
        <f t="shared" si="1"/>
        <v>2.2833260000000002</v>
      </c>
      <c r="G74" s="17">
        <f t="shared" si="2"/>
        <v>5.3310000000000003E-2</v>
      </c>
      <c r="H74" s="16">
        <f t="shared" si="3"/>
        <v>0.244198</v>
      </c>
      <c r="I74" s="16">
        <f t="shared" si="4"/>
        <v>3.8970999999999999E-2</v>
      </c>
      <c r="J74" s="16">
        <f t="shared" si="5"/>
        <v>4.6959999999999997E-3</v>
      </c>
      <c r="K74" s="16">
        <f t="shared" si="6"/>
        <v>0.28786499999999998</v>
      </c>
      <c r="L74" s="62">
        <f t="shared" si="13"/>
        <v>568.32000000000005</v>
      </c>
      <c r="M74" s="16">
        <f t="shared" si="14"/>
        <v>1.774288830935252</v>
      </c>
      <c r="N74" s="68">
        <f t="shared" si="15"/>
        <v>1008.3638283971226</v>
      </c>
    </row>
    <row r="75" spans="1:14" ht="14.4" thickBot="1" x14ac:dyDescent="0.35">
      <c r="A75" s="69">
        <v>29</v>
      </c>
      <c r="B75" s="12" t="s">
        <v>50</v>
      </c>
      <c r="C75" s="13">
        <v>284.16000000000003</v>
      </c>
      <c r="D75" s="18">
        <f t="shared" si="0"/>
        <v>1.1416630000000001</v>
      </c>
      <c r="E75" s="15">
        <v>1.86</v>
      </c>
      <c r="F75" s="16">
        <f t="shared" si="1"/>
        <v>2.1234929999999999</v>
      </c>
      <c r="G75" s="17">
        <f t="shared" si="2"/>
        <v>5.3310000000000003E-2</v>
      </c>
      <c r="H75" s="16">
        <f t="shared" si="3"/>
        <v>0.244198</v>
      </c>
      <c r="I75" s="16">
        <f t="shared" si="4"/>
        <v>4.1904999999999998E-2</v>
      </c>
      <c r="J75" s="16">
        <f t="shared" si="5"/>
        <v>4.2209999999999999E-3</v>
      </c>
      <c r="K75" s="16">
        <f t="shared" si="6"/>
        <v>0.29032400000000003</v>
      </c>
      <c r="L75" s="62">
        <f t="shared" si="13"/>
        <v>528.53760000000011</v>
      </c>
      <c r="M75" s="16">
        <f t="shared" si="14"/>
        <v>1.7776765899280578</v>
      </c>
      <c r="N75" s="68">
        <f t="shared" si="15"/>
        <v>939.56891841675997</v>
      </c>
    </row>
    <row r="76" spans="1:14" ht="14.4" thickBot="1" x14ac:dyDescent="0.35">
      <c r="A76" s="69">
        <v>30</v>
      </c>
      <c r="B76" s="12" t="s">
        <v>51</v>
      </c>
      <c r="C76" s="13">
        <v>287.17</v>
      </c>
      <c r="D76" s="18">
        <f t="shared" si="0"/>
        <v>1.1537569999999999</v>
      </c>
      <c r="E76" s="15">
        <v>2</v>
      </c>
      <c r="F76" s="16">
        <f t="shared" si="1"/>
        <v>2.3075139999999998</v>
      </c>
      <c r="G76" s="17">
        <f t="shared" si="2"/>
        <v>5.3310000000000003E-2</v>
      </c>
      <c r="H76" s="16">
        <f t="shared" si="3"/>
        <v>0.244198</v>
      </c>
      <c r="I76" s="16">
        <f t="shared" si="4"/>
        <v>3.8563E-2</v>
      </c>
      <c r="J76" s="16">
        <f t="shared" si="5"/>
        <v>4.7619999999999997E-3</v>
      </c>
      <c r="K76" s="16">
        <f t="shared" si="6"/>
        <v>0.28752299999999997</v>
      </c>
      <c r="L76" s="62">
        <f t="shared" si="13"/>
        <v>574.34</v>
      </c>
      <c r="M76" s="16">
        <f t="shared" si="14"/>
        <v>1.7738176582733813</v>
      </c>
      <c r="N76" s="68">
        <f t="shared" si="15"/>
        <v>1018.7744338527339</v>
      </c>
    </row>
    <row r="77" spans="1:14" ht="14.4" thickBot="1" x14ac:dyDescent="0.35">
      <c r="A77" s="69">
        <v>31</v>
      </c>
      <c r="B77" s="12" t="s">
        <v>52</v>
      </c>
      <c r="C77" s="13">
        <v>287.17</v>
      </c>
      <c r="D77" s="18">
        <f t="shared" si="0"/>
        <v>1.1537569999999999</v>
      </c>
      <c r="E77" s="15">
        <v>2.15</v>
      </c>
      <c r="F77" s="16">
        <f t="shared" si="1"/>
        <v>2.4805779999999999</v>
      </c>
      <c r="G77" s="17">
        <f t="shared" si="2"/>
        <v>5.3310000000000003E-2</v>
      </c>
      <c r="H77" s="16">
        <f t="shared" si="3"/>
        <v>0.244198</v>
      </c>
      <c r="I77" s="16">
        <f t="shared" si="4"/>
        <v>3.5873000000000002E-2</v>
      </c>
      <c r="J77" s="16">
        <f t="shared" si="5"/>
        <v>5.1970000000000002E-3</v>
      </c>
      <c r="K77" s="16">
        <f t="shared" si="6"/>
        <v>0.28526800000000002</v>
      </c>
      <c r="L77" s="62">
        <f t="shared" si="13"/>
        <v>617.41550000000007</v>
      </c>
      <c r="M77" s="16">
        <f t="shared" si="14"/>
        <v>1.770710949640288</v>
      </c>
      <c r="N77" s="68">
        <f t="shared" si="15"/>
        <v>1093.2643863276332</v>
      </c>
    </row>
    <row r="78" spans="1:14" ht="14.4" thickBot="1" x14ac:dyDescent="0.35">
      <c r="A78" s="70">
        <v>32</v>
      </c>
      <c r="B78" s="71" t="s">
        <v>54</v>
      </c>
      <c r="C78" s="72">
        <v>287.17</v>
      </c>
      <c r="D78" s="73">
        <f t="shared" si="0"/>
        <v>1.1537569999999999</v>
      </c>
      <c r="E78" s="74">
        <v>2</v>
      </c>
      <c r="F78" s="75">
        <f t="shared" si="1"/>
        <v>2.3075139999999998</v>
      </c>
      <c r="G78" s="76">
        <f t="shared" si="2"/>
        <v>5.3310000000000003E-2</v>
      </c>
      <c r="H78" s="75">
        <f t="shared" si="3"/>
        <v>0.244198</v>
      </c>
      <c r="I78" s="75">
        <f t="shared" si="4"/>
        <v>3.8563E-2</v>
      </c>
      <c r="J78" s="75">
        <f t="shared" si="5"/>
        <v>4.7619999999999997E-3</v>
      </c>
      <c r="K78" s="75">
        <f t="shared" si="6"/>
        <v>0.28752299999999997</v>
      </c>
      <c r="L78" s="62">
        <f t="shared" si="13"/>
        <v>574.34</v>
      </c>
      <c r="M78" s="16">
        <f t="shared" si="14"/>
        <v>1.7738176582733813</v>
      </c>
      <c r="N78" s="68">
        <f t="shared" si="15"/>
        <v>1018.7744338527339</v>
      </c>
    </row>
  </sheetData>
  <mergeCells count="2">
    <mergeCell ref="F24:L24"/>
    <mergeCell ref="A25:C25"/>
  </mergeCells>
  <pageMargins left="0" right="0" top="0" bottom="0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 gonzalez</cp:lastModifiedBy>
  <cp:lastPrinted>2024-09-15T03:01:43Z</cp:lastPrinted>
  <dcterms:created xsi:type="dcterms:W3CDTF">2024-09-10T15:36:03Z</dcterms:created>
  <dcterms:modified xsi:type="dcterms:W3CDTF">2024-10-11T00:59:09Z</dcterms:modified>
</cp:coreProperties>
</file>